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codeName="ThisWorkbook" defaultThemeVersion="124226"/>
  <workbookProtection lockStructure="1"/>
  <bookViews>
    <workbookView xWindow="-60" yWindow="135" windowWidth="12120" windowHeight="7500" tabRatio="679" activeTab="1"/>
  </bookViews>
  <sheets>
    <sheet name="Instructions" sheetId="13" r:id="rId1"/>
    <sheet name="Data" sheetId="4" r:id="rId2"/>
    <sheet name="Table-1" sheetId="2" r:id="rId3"/>
    <sheet name="Table-2" sheetId="11" r:id="rId4"/>
    <sheet name="Annexure-1" sheetId="1" r:id="rId5"/>
    <sheet name="Form No.16" sheetId="3" r:id="rId6"/>
    <sheet name="Rent Receipt" sheetId="12" r:id="rId7"/>
    <sheet name="Ack" sheetId="7" r:id="rId8"/>
    <sheet name="ITR 1" sheetId="10" r:id="rId9"/>
  </sheets>
  <definedNames>
    <definedName name="AGInc">Data!$AA$27</definedName>
    <definedName name="BPay">Data!$BH$3:$BH$87</definedName>
    <definedName name="Bpays">Data!$BH$3:$BK$86</definedName>
    <definedName name="CCA">Data!$AV$2:$AZ$6</definedName>
    <definedName name="DA">Data!$AV$10:$AX$13</definedName>
    <definedName name="dates">Data!$AA$3:$AA$22</definedName>
    <definedName name="DD">Data!$BC$3:$BC$34</definedName>
    <definedName name="Details">Data!$AC$3:$AT$21</definedName>
    <definedName name="DoAAS">Data!$AA$21</definedName>
    <definedName name="DoNI">Data!$AA$20</definedName>
    <definedName name="DoNI2">Data!$AA$26</definedName>
    <definedName name="DoP">Data!$AA$18</definedName>
    <definedName name="DoPO">Data!$AA$19</definedName>
    <definedName name="FinYear">Data!$BD$16:$BD$28</definedName>
    <definedName name="HRA">Data!$BA$11:$BA$15</definedName>
    <definedName name="HRATab">Data!$AV$18:$AY$21</definedName>
    <definedName name="MM">Data!$BE$3:$BE$15</definedName>
    <definedName name="Mon">Data!$BD$3:$BD$15</definedName>
    <definedName name="option">Data!$BA$29:$BA$30</definedName>
    <definedName name="ProOpt">Data!$G$24</definedName>
    <definedName name="SCA">Data!$AV$22:$AY$28</definedName>
    <definedName name="Scales">Data!$BL$3:$BL$34</definedName>
    <definedName name="SL">Data!$BA$3:$BA$5</definedName>
    <definedName name="Upto">Data!$Y$5</definedName>
    <definedName name="YN">Data!$BA$7:$BA$8</definedName>
    <definedName name="YOB">Data!$BG$3:$BG$40</definedName>
    <definedName name="YY">Data!$BF$3:$BF$5</definedName>
  </definedNames>
  <calcPr calcId="124519"/>
  <fileRecoveryPr repairLoad="1"/>
</workbook>
</file>

<file path=xl/calcChain.xml><?xml version="1.0" encoding="utf-8"?>
<calcChain xmlns="http://schemas.openxmlformats.org/spreadsheetml/2006/main">
  <c r="AA20" i="4"/>
  <c r="AA27" s="1"/>
  <c r="C29" l="1"/>
  <c r="BF4" l="1"/>
  <c r="BF5" s="1"/>
  <c r="BB24" l="1"/>
  <c r="BD16" l="1"/>
  <c r="AX12"/>
  <c r="N4" i="2" l="1"/>
  <c r="M5"/>
  <c r="J5"/>
  <c r="K5"/>
  <c r="H4"/>
  <c r="G4"/>
  <c r="F4"/>
  <c r="D4"/>
  <c r="C4"/>
  <c r="B4"/>
  <c r="A4"/>
  <c r="I23" i="1" l="1"/>
  <c r="AB30" i="4"/>
  <c r="A5" i="3" s="1"/>
  <c r="AB29" i="4"/>
  <c r="H5" i="3" s="1"/>
  <c r="AB28" i="4"/>
  <c r="AA3" l="1"/>
  <c r="AA26" l="1"/>
  <c r="A21" i="2" l="1"/>
  <c r="A22"/>
  <c r="A23"/>
  <c r="A24"/>
  <c r="A25"/>
  <c r="A20"/>
  <c r="B61" i="1" l="1"/>
  <c r="A7" i="11" l="1"/>
  <c r="K64" i="3" l="1"/>
  <c r="A7" i="2" l="1"/>
  <c r="V4" i="4" l="1"/>
  <c r="A5" i="13" l="1"/>
  <c r="AX10" i="4"/>
  <c r="I26" i="3"/>
  <c r="I27"/>
  <c r="U4" i="4"/>
  <c r="U5"/>
  <c r="U6"/>
  <c r="U7"/>
  <c r="U8"/>
  <c r="U9"/>
  <c r="U3"/>
  <c r="V5"/>
  <c r="V6"/>
  <c r="V7"/>
  <c r="V8"/>
  <c r="V9"/>
  <c r="V3"/>
  <c r="T3" s="1"/>
  <c r="N3" i="2"/>
  <c r="A6" i="13" l="1"/>
  <c r="A7" s="1"/>
  <c r="A8" s="1"/>
  <c r="A9" s="1"/>
  <c r="K28" i="3"/>
  <c r="T4" i="4"/>
  <c r="A10" i="13" l="1"/>
  <c r="A11" s="1"/>
  <c r="A12" s="1"/>
  <c r="A13" s="1"/>
  <c r="A14" s="1"/>
  <c r="T5" i="4"/>
  <c r="T6" s="1"/>
  <c r="T7" s="1"/>
  <c r="T8" s="1"/>
  <c r="T9" s="1"/>
  <c r="BM1"/>
  <c r="BN1" s="1"/>
  <c r="A15" i="13" l="1"/>
  <c r="A16" s="1"/>
  <c r="A17" s="1"/>
  <c r="A18" s="1"/>
  <c r="A19" s="1"/>
  <c r="C18" i="3"/>
  <c r="I18"/>
  <c r="I17"/>
  <c r="C17"/>
  <c r="BM3" i="4"/>
  <c r="BN3" s="1"/>
  <c r="AI1"/>
  <c r="AX19"/>
  <c r="AX18"/>
  <c r="I18" i="1" l="1"/>
  <c r="AW19" i="4"/>
  <c r="AW18"/>
  <c r="G25" i="7" l="1"/>
  <c r="G24"/>
  <c r="J28" i="10"/>
  <c r="J27"/>
  <c r="AM11"/>
  <c r="AH11"/>
  <c r="AH7"/>
  <c r="A4" i="12"/>
  <c r="K44" i="3"/>
  <c r="M44" s="1"/>
  <c r="C44"/>
  <c r="D35"/>
  <c r="D36"/>
  <c r="C43" i="1"/>
  <c r="D38" i="3" s="1"/>
  <c r="C44" i="1"/>
  <c r="D39" i="3" s="1"/>
  <c r="C45" i="1"/>
  <c r="D40" i="3" s="1"/>
  <c r="C46" i="1"/>
  <c r="D41" i="3" s="1"/>
  <c r="C47" i="1"/>
  <c r="C48"/>
  <c r="C49"/>
  <c r="C50"/>
  <c r="C51"/>
  <c r="C52"/>
  <c r="C53"/>
  <c r="C54"/>
  <c r="C42"/>
  <c r="D37" i="3" s="1"/>
  <c r="I43" i="1"/>
  <c r="I38" i="3" s="1"/>
  <c r="K38" s="1"/>
  <c r="M38" s="1"/>
  <c r="I44" i="1"/>
  <c r="I39" i="3" s="1"/>
  <c r="K39" s="1"/>
  <c r="M39" s="1"/>
  <c r="I45" i="1"/>
  <c r="I40" i="3" s="1"/>
  <c r="K40" s="1"/>
  <c r="M40" s="1"/>
  <c r="I46" i="1"/>
  <c r="I41" i="3" s="1"/>
  <c r="K41" s="1"/>
  <c r="M41" s="1"/>
  <c r="I47" i="1"/>
  <c r="I42" i="3" s="1"/>
  <c r="K42" s="1"/>
  <c r="M42" s="1"/>
  <c r="I48" i="1"/>
  <c r="I49"/>
  <c r="I50"/>
  <c r="I51"/>
  <c r="I52"/>
  <c r="I53"/>
  <c r="I54"/>
  <c r="I42"/>
  <c r="I37" i="3" s="1"/>
  <c r="K37" s="1"/>
  <c r="M37" s="1"/>
  <c r="V14" i="4"/>
  <c r="V13"/>
  <c r="T13" s="1"/>
  <c r="V20"/>
  <c r="AD26" i="10" s="1"/>
  <c r="V23" i="4"/>
  <c r="AD29" i="10" s="1"/>
  <c r="V17" i="4"/>
  <c r="T27" i="10" s="1"/>
  <c r="V18" i="4"/>
  <c r="T28" i="10" s="1"/>
  <c r="V15" i="4"/>
  <c r="J29" i="10" s="1"/>
  <c r="V16" i="4"/>
  <c r="T26" i="10" s="1"/>
  <c r="I43" i="3" l="1"/>
  <c r="K43" s="1"/>
  <c r="M43" s="1"/>
  <c r="K61"/>
  <c r="J29" i="4"/>
  <c r="V19"/>
  <c r="T29" i="10" s="1"/>
  <c r="V21" i="4"/>
  <c r="AD27" i="10" s="1"/>
  <c r="V22" i="4"/>
  <c r="AD28" i="10" s="1"/>
  <c r="AD25" i="4"/>
  <c r="AC25"/>
  <c r="BD17"/>
  <c r="BD18" s="1"/>
  <c r="BD19" s="1"/>
  <c r="BD20" s="1"/>
  <c r="BD21" s="1"/>
  <c r="BD22" s="1"/>
  <c r="BD23" s="1"/>
  <c r="BD24" s="1"/>
  <c r="BD25" s="1"/>
  <c r="BD26" s="1"/>
  <c r="BD27" s="1"/>
  <c r="AF3"/>
  <c r="AL25" l="1"/>
  <c r="C24" i="11" s="1"/>
  <c r="G4" i="1"/>
  <c r="A67"/>
  <c r="A1"/>
  <c r="T14" i="4"/>
  <c r="T15" s="1"/>
  <c r="T16" s="1"/>
  <c r="T17" s="1"/>
  <c r="T18" s="1"/>
  <c r="T19" s="1"/>
  <c r="T20" s="1"/>
  <c r="T21" s="1"/>
  <c r="T22" s="1"/>
  <c r="T23" s="1"/>
  <c r="C34" i="1" l="1"/>
  <c r="C30"/>
  <c r="I33"/>
  <c r="I29"/>
  <c r="C33"/>
  <c r="C29"/>
  <c r="I32"/>
  <c r="C32"/>
  <c r="I28"/>
  <c r="I31"/>
  <c r="C28"/>
  <c r="C31"/>
  <c r="I34"/>
  <c r="I30"/>
  <c r="BB26" i="4" l="1"/>
  <c r="A8" i="11" l="1"/>
  <c r="A8" i="2" s="1"/>
  <c r="AA21" i="4"/>
  <c r="AC23" s="1"/>
  <c r="AA18"/>
  <c r="A9" i="11" l="1"/>
  <c r="A10" l="1"/>
  <c r="A9" i="2"/>
  <c r="Y5" i="4"/>
  <c r="C30" s="1"/>
  <c r="A2" i="11"/>
  <c r="A2" i="2" s="1"/>
  <c r="A27" i="11"/>
  <c r="A27" i="2" s="1"/>
  <c r="Y4" i="4"/>
  <c r="AD2" i="10" s="1"/>
  <c r="Y3" i="4"/>
  <c r="D25" i="2"/>
  <c r="C10" i="12"/>
  <c r="A11"/>
  <c r="A10"/>
  <c r="A7"/>
  <c r="P26" i="11"/>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C9" i="10"/>
  <c r="B10" i="7" s="1"/>
  <c r="T7" i="10"/>
  <c r="G8" i="7" s="1"/>
  <c r="C7" i="10"/>
  <c r="B8" i="7" s="1"/>
  <c r="I22" i="1"/>
  <c r="I21"/>
  <c r="B25" i="2"/>
  <c r="F21"/>
  <c r="C7" i="11"/>
  <c r="C7" i="2" s="1"/>
  <c r="C8" i="11"/>
  <c r="C8" i="2" s="1"/>
  <c r="C9" i="11"/>
  <c r="C9" i="2" s="1"/>
  <c r="C10" i="11"/>
  <c r="C10" i="2" s="1"/>
  <c r="C11" i="11"/>
  <c r="C11" i="2" s="1"/>
  <c r="C12" i="11"/>
  <c r="C12" i="2" s="1"/>
  <c r="C13" i="11"/>
  <c r="C13" i="2" s="1"/>
  <c r="C14" i="11"/>
  <c r="C14" i="2" s="1"/>
  <c r="C15" i="11"/>
  <c r="C15" i="2" s="1"/>
  <c r="C16" i="11"/>
  <c r="C16" i="2" s="1"/>
  <c r="C17" i="11"/>
  <c r="C17" i="2" s="1"/>
  <c r="C18" i="11"/>
  <c r="C18" i="2" s="1"/>
  <c r="B20"/>
  <c r="B21"/>
  <c r="G25"/>
  <c r="AA40" i="10"/>
  <c r="M25" i="2"/>
  <c r="I25"/>
  <c r="N20"/>
  <c r="N21"/>
  <c r="N22"/>
  <c r="N23"/>
  <c r="N24"/>
  <c r="N25"/>
  <c r="M21"/>
  <c r="M22"/>
  <c r="M23"/>
  <c r="M24"/>
  <c r="M20"/>
  <c r="J20"/>
  <c r="K20"/>
  <c r="J21"/>
  <c r="K21"/>
  <c r="J22"/>
  <c r="K22"/>
  <c r="J23"/>
  <c r="K23"/>
  <c r="J24"/>
  <c r="K24"/>
  <c r="J25"/>
  <c r="K25"/>
  <c r="I22"/>
  <c r="I23"/>
  <c r="C21"/>
  <c r="G21"/>
  <c r="C22"/>
  <c r="C23"/>
  <c r="C24"/>
  <c r="C25"/>
  <c r="G20"/>
  <c r="C20"/>
  <c r="F20"/>
  <c r="AK56" i="10"/>
  <c r="L27" i="4"/>
  <c r="L19" i="2"/>
  <c r="L26" s="1"/>
  <c r="M68" i="10"/>
  <c r="L68"/>
  <c r="K68"/>
  <c r="J68"/>
  <c r="I68"/>
  <c r="H68"/>
  <c r="G68"/>
  <c r="F68"/>
  <c r="E68"/>
  <c r="D68"/>
  <c r="F25" i="2"/>
  <c r="O3" i="11"/>
  <c r="AA19" i="4"/>
  <c r="AQ2"/>
  <c r="AP2"/>
  <c r="AZ12"/>
  <c r="AZ11"/>
  <c r="AZ10"/>
  <c r="AM3"/>
  <c r="AL2"/>
  <c r="K5" i="11" s="1"/>
  <c r="I5" i="2" s="1"/>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AB4" i="4"/>
  <c r="AB5" s="1"/>
  <c r="AB6" s="1"/>
  <c r="AB7" s="1"/>
  <c r="AB8" s="1"/>
  <c r="AB9" s="1"/>
  <c r="AB10" s="1"/>
  <c r="AB11" s="1"/>
  <c r="AB12" s="1"/>
  <c r="AB13" s="1"/>
  <c r="AB14" s="1"/>
  <c r="AB15" s="1"/>
  <c r="AB16" s="1"/>
  <c r="AB17" s="1"/>
  <c r="AB18" s="1"/>
  <c r="AB19" s="1"/>
  <c r="X7"/>
  <c r="AH5" i="10"/>
  <c r="I6" i="7" s="1"/>
  <c r="AI5" i="10"/>
  <c r="J6" i="7" s="1"/>
  <c r="AJ5" i="10"/>
  <c r="K6" i="7" s="1"/>
  <c r="AK5" i="10"/>
  <c r="L6" i="7" s="1"/>
  <c r="AL5" i="10"/>
  <c r="M6" i="7" s="1"/>
  <c r="AM5" i="10"/>
  <c r="N6" i="7" s="1"/>
  <c r="AN5" i="10"/>
  <c r="O6" i="7" s="1"/>
  <c r="AO5" i="10"/>
  <c r="P6" i="7" s="1"/>
  <c r="AP5" i="10"/>
  <c r="Q6" i="7" s="1"/>
  <c r="AQ5" i="10"/>
  <c r="R6" i="7" s="1"/>
  <c r="T9" i="10"/>
  <c r="G10" i="7" s="1"/>
  <c r="AH9" i="10"/>
  <c r="AK9"/>
  <c r="AN9"/>
  <c r="Y15"/>
  <c r="AI15"/>
  <c r="AK23"/>
  <c r="AK46"/>
  <c r="A4" i="7"/>
  <c r="B6"/>
  <c r="B12"/>
  <c r="G12"/>
  <c r="J30"/>
  <c r="J31"/>
  <c r="J32"/>
  <c r="J37"/>
  <c r="J38" s="1"/>
  <c r="J39" s="1"/>
  <c r="A7" i="3"/>
  <c r="F7"/>
  <c r="H7"/>
  <c r="C26"/>
  <c r="A74"/>
  <c r="J75"/>
  <c r="J76"/>
  <c r="D5" i="1"/>
  <c r="I6"/>
  <c r="I11"/>
  <c r="D42" i="3"/>
  <c r="A70" i="1"/>
  <c r="AN3" i="4"/>
  <c r="AV18"/>
  <c r="X10"/>
  <c r="X8"/>
  <c r="X9" s="1"/>
  <c r="G24" i="2"/>
  <c r="J25" i="11"/>
  <c r="AC24" i="4"/>
  <c r="AJ2" i="10"/>
  <c r="G61" i="1"/>
  <c r="AL2" i="10"/>
  <c r="L9" i="3"/>
  <c r="A100" i="10" s="1"/>
  <c r="AF2"/>
  <c r="AN2" l="1"/>
  <c r="AP2"/>
  <c r="AH2"/>
  <c r="B28" i="11"/>
  <c r="B1" i="4"/>
  <c r="A1" i="13"/>
  <c r="B7" i="1"/>
  <c r="B28" i="2"/>
  <c r="A2" i="1"/>
  <c r="H9" i="3"/>
  <c r="C39" i="1"/>
  <c r="D34" i="3" s="1"/>
  <c r="A11" i="11"/>
  <c r="A10" i="2"/>
  <c r="A3" i="11"/>
  <c r="A3" i="2" s="1"/>
  <c r="AV19" i="4"/>
  <c r="AA22"/>
  <c r="J9" i="3"/>
  <c r="B60" i="1"/>
  <c r="A1" i="2"/>
  <c r="G63" i="1"/>
  <c r="L25" i="4" s="1"/>
  <c r="A1" i="11"/>
  <c r="L26" i="4"/>
  <c r="G62" i="1"/>
  <c r="L24" i="4" s="1"/>
  <c r="I24" i="1"/>
  <c r="K24" s="1"/>
  <c r="C19" i="11"/>
  <c r="C26" s="1"/>
  <c r="B16" i="1"/>
  <c r="C9"/>
  <c r="Y10" i="4"/>
  <c r="L5" i="10" s="1"/>
  <c r="C19" i="2"/>
  <c r="C26" s="1"/>
  <c r="Y9" i="4"/>
  <c r="C5" i="10" s="1"/>
  <c r="Y8" i="4"/>
  <c r="W5" i="10" s="1"/>
  <c r="H25" i="2"/>
  <c r="AA4" i="4" l="1"/>
  <c r="A12" i="11"/>
  <c r="A11" i="2"/>
  <c r="D30" i="4"/>
  <c r="E30"/>
  <c r="F30"/>
  <c r="I53" i="3"/>
  <c r="I51"/>
  <c r="I52"/>
  <c r="D47"/>
  <c r="I48"/>
  <c r="D48"/>
  <c r="I47"/>
  <c r="K47" s="1"/>
  <c r="I49"/>
  <c r="I50"/>
  <c r="AA5" i="4" l="1"/>
  <c r="AA6" s="1"/>
  <c r="AA7" s="1"/>
  <c r="AA8" s="1"/>
  <c r="AA9" s="1"/>
  <c r="AA10" s="1"/>
  <c r="AA11" s="1"/>
  <c r="AA12" s="1"/>
  <c r="AA13" s="1"/>
  <c r="AA14" s="1"/>
  <c r="AA15" s="1"/>
  <c r="AA16" s="1"/>
  <c r="AA17" s="1"/>
  <c r="A13" i="11"/>
  <c r="A12" i="2"/>
  <c r="K49" i="3"/>
  <c r="M49" s="1"/>
  <c r="K51"/>
  <c r="M51" s="1"/>
  <c r="K50"/>
  <c r="M50" s="1"/>
  <c r="K48"/>
  <c r="M48" s="1"/>
  <c r="K52"/>
  <c r="M52" s="1"/>
  <c r="K53"/>
  <c r="M53" s="1"/>
  <c r="AE24" i="4"/>
  <c r="M47" i="3"/>
  <c r="AC15" i="4" l="1"/>
  <c r="AC18"/>
  <c r="AE18" s="1"/>
  <c r="AC20"/>
  <c r="AK20" s="1"/>
  <c r="AC8"/>
  <c r="AC11"/>
  <c r="AJ11" s="1"/>
  <c r="AC14"/>
  <c r="AC17"/>
  <c r="AJ17" s="1"/>
  <c r="AC21"/>
  <c r="AJ21" s="1"/>
  <c r="AC5"/>
  <c r="AT5" s="1"/>
  <c r="AC7"/>
  <c r="AD7" s="1"/>
  <c r="AC10"/>
  <c r="AC13"/>
  <c r="AD13" s="1"/>
  <c r="AC16"/>
  <c r="AC19"/>
  <c r="AD19" s="1"/>
  <c r="AC3"/>
  <c r="AC6"/>
  <c r="AD6" s="1"/>
  <c r="AC9"/>
  <c r="AC12"/>
  <c r="AE12" s="1"/>
  <c r="A2" i="12"/>
  <c r="A8" s="1"/>
  <c r="AC4" i="4"/>
  <c r="AT4" s="1"/>
  <c r="A14" i="11"/>
  <c r="A13" i="2"/>
  <c r="AD20" i="4"/>
  <c r="AE20"/>
  <c r="AD12"/>
  <c r="AN4"/>
  <c r="AJ7"/>
  <c r="AJ10"/>
  <c r="AJ13"/>
  <c r="AJ16"/>
  <c r="AJ19"/>
  <c r="AJ3"/>
  <c r="AJ12"/>
  <c r="AJ20"/>
  <c r="AJ14"/>
  <c r="AJ4"/>
  <c r="D50" i="3"/>
  <c r="AD23" i="4"/>
  <c r="AE23"/>
  <c r="E7" i="11" l="1"/>
  <c r="AD8" i="4"/>
  <c r="AK21"/>
  <c r="AE19"/>
  <c r="AD17"/>
  <c r="AD18"/>
  <c r="AK4"/>
  <c r="AJ8"/>
  <c r="H9" i="11" s="1"/>
  <c r="AJ18" i="4"/>
  <c r="AJ6"/>
  <c r="AK19"/>
  <c r="AD11"/>
  <c r="AD3"/>
  <c r="AD14"/>
  <c r="AJ5"/>
  <c r="H7" i="11" s="1"/>
  <c r="AJ15" i="4"/>
  <c r="AK3"/>
  <c r="AN5"/>
  <c r="AN6" s="1"/>
  <c r="M7" i="11" s="1"/>
  <c r="AD5" i="4"/>
  <c r="AM4"/>
  <c r="AM5" s="1"/>
  <c r="AM6" s="1"/>
  <c r="AM7" s="1"/>
  <c r="AM8" s="1"/>
  <c r="AT12"/>
  <c r="E14" i="11" s="1"/>
  <c r="AJ25" i="4"/>
  <c r="AE6"/>
  <c r="AT6"/>
  <c r="E8" i="11" s="1"/>
  <c r="AF19" i="4"/>
  <c r="AH19" s="1"/>
  <c r="AE13"/>
  <c r="AT13"/>
  <c r="AE7"/>
  <c r="AT7"/>
  <c r="E9" i="11" s="1"/>
  <c r="AE14" i="4"/>
  <c r="AT14"/>
  <c r="AE8"/>
  <c r="AT8"/>
  <c r="E10" i="11" s="1"/>
  <c r="AE9" i="4"/>
  <c r="AT9"/>
  <c r="E11" i="11" s="1"/>
  <c r="AO3" i="4"/>
  <c r="AO4" s="1"/>
  <c r="AO5" s="1"/>
  <c r="AO6" s="1"/>
  <c r="AO7" s="1"/>
  <c r="AO8" s="1"/>
  <c r="AO9" s="1"/>
  <c r="O9" i="11" s="1"/>
  <c r="N9" i="2" s="1"/>
  <c r="AT3" i="4"/>
  <c r="AE16"/>
  <c r="AE10"/>
  <c r="AT10"/>
  <c r="E12" i="11" s="1"/>
  <c r="AE17" i="4"/>
  <c r="AE11"/>
  <c r="AT11"/>
  <c r="E13" i="11" s="1"/>
  <c r="AF20" i="4"/>
  <c r="AE15"/>
  <c r="H12" i="11"/>
  <c r="H8"/>
  <c r="AQ3" i="4"/>
  <c r="AS3" s="1"/>
  <c r="AG3"/>
  <c r="AL3" s="1"/>
  <c r="AJ9"/>
  <c r="H10" i="11" s="1"/>
  <c r="AM9" i="4"/>
  <c r="AM10" s="1"/>
  <c r="AM11" s="1"/>
  <c r="AM12" s="1"/>
  <c r="AM13" s="1"/>
  <c r="AM14" s="1"/>
  <c r="AM15" s="1"/>
  <c r="AM16" s="1"/>
  <c r="AM17" s="1"/>
  <c r="AM18" s="1"/>
  <c r="AM19" s="1"/>
  <c r="AM20" s="1"/>
  <c r="AM21" s="1"/>
  <c r="AD15"/>
  <c r="AD9"/>
  <c r="AE3"/>
  <c r="AH3" s="1"/>
  <c r="AD16"/>
  <c r="AD10"/>
  <c r="AE4"/>
  <c r="AF4"/>
  <c r="AF5" s="1"/>
  <c r="AD4"/>
  <c r="AF21"/>
  <c r="AT21" s="1"/>
  <c r="AE21"/>
  <c r="AD21"/>
  <c r="AE5"/>
  <c r="AD24"/>
  <c r="A15" i="11"/>
  <c r="H15" s="1"/>
  <c r="A14" i="2"/>
  <c r="L13" i="11"/>
  <c r="L9"/>
  <c r="H13"/>
  <c r="L11"/>
  <c r="H11"/>
  <c r="L10"/>
  <c r="L12"/>
  <c r="AK5" i="4"/>
  <c r="H14" i="11"/>
  <c r="D49" i="3"/>
  <c r="D51"/>
  <c r="D52"/>
  <c r="D53"/>
  <c r="E15" i="11" l="1"/>
  <c r="AP19" i="4"/>
  <c r="AR19" s="1"/>
  <c r="L8" i="11"/>
  <c r="L7"/>
  <c r="AL4" i="4"/>
  <c r="AG19"/>
  <c r="AQ19"/>
  <c r="AS19" s="1"/>
  <c r="O7" i="11"/>
  <c r="N7" i="2" s="1"/>
  <c r="O8" i="11"/>
  <c r="N8" i="2" s="1"/>
  <c r="AQ20" i="4"/>
  <c r="AS20" s="1"/>
  <c r="AG20"/>
  <c r="AP20"/>
  <c r="AR20" s="1"/>
  <c r="AH20"/>
  <c r="AT19"/>
  <c r="AT20"/>
  <c r="L14" i="11"/>
  <c r="AO10" i="4"/>
  <c r="O10" i="11" s="1"/>
  <c r="N10" i="2" s="1"/>
  <c r="L15" i="11"/>
  <c r="AF6" i="4"/>
  <c r="AG6" s="1"/>
  <c r="AQ5"/>
  <c r="AS5" s="1"/>
  <c r="AG5"/>
  <c r="AI21"/>
  <c r="AI20" s="1"/>
  <c r="AI19" s="1"/>
  <c r="AP21"/>
  <c r="AR21" s="1"/>
  <c r="AH21"/>
  <c r="AQ21"/>
  <c r="AS21" s="1"/>
  <c r="AG21"/>
  <c r="AQ4"/>
  <c r="AS4" s="1"/>
  <c r="AG4"/>
  <c r="A16" i="11"/>
  <c r="E16" s="1"/>
  <c r="A15" i="2"/>
  <c r="AH4" i="4"/>
  <c r="AN7"/>
  <c r="AK6"/>
  <c r="AF24"/>
  <c r="B23" i="11" s="1"/>
  <c r="I24" i="2"/>
  <c r="AL5" i="4" l="1"/>
  <c r="AL6" s="1"/>
  <c r="AL7" s="1"/>
  <c r="D7" i="11"/>
  <c r="AO11" i="4"/>
  <c r="O11" i="11" s="1"/>
  <c r="N11" i="2" s="1"/>
  <c r="AQ6" i="4"/>
  <c r="AS6" s="1"/>
  <c r="E7" i="2" s="1"/>
  <c r="AF7" i="4"/>
  <c r="AF8" s="1"/>
  <c r="AF9" s="1"/>
  <c r="AF10" s="1"/>
  <c r="AF11" s="1"/>
  <c r="AF12" s="1"/>
  <c r="AF13" s="1"/>
  <c r="AF14" s="1"/>
  <c r="AF15" s="1"/>
  <c r="B7" i="11"/>
  <c r="A17"/>
  <c r="A16" i="2"/>
  <c r="H16" i="11"/>
  <c r="L16"/>
  <c r="I7"/>
  <c r="AN8" i="4"/>
  <c r="AN9" s="1"/>
  <c r="AK7"/>
  <c r="AJ24"/>
  <c r="K7" i="11" l="1"/>
  <c r="AF16" i="4"/>
  <c r="AF25" s="1"/>
  <c r="AH25" s="1"/>
  <c r="F24" i="11" s="1"/>
  <c r="F24" i="2" s="1"/>
  <c r="AT15" i="4"/>
  <c r="E17" i="11" s="1"/>
  <c r="B24"/>
  <c r="AF17" i="4"/>
  <c r="B9" i="11"/>
  <c r="AQ7" i="4"/>
  <c r="AS7" s="1"/>
  <c r="E8" i="2" s="1"/>
  <c r="M8" i="11"/>
  <c r="AO12" i="4"/>
  <c r="O12" i="11"/>
  <c r="N12" i="2" s="1"/>
  <c r="B8" i="11"/>
  <c r="AP7" i="4"/>
  <c r="AR7" s="1"/>
  <c r="A18" i="11"/>
  <c r="A17" i="2"/>
  <c r="L17" i="11"/>
  <c r="H17"/>
  <c r="M9"/>
  <c r="I8"/>
  <c r="AN10" i="4"/>
  <c r="M10" i="11"/>
  <c r="AK8" i="4"/>
  <c r="AH8"/>
  <c r="AH7" s="1"/>
  <c r="AH6" s="1"/>
  <c r="B10" i="11"/>
  <c r="AQ8" i="4"/>
  <c r="AS8" s="1"/>
  <c r="E9" i="2" s="1"/>
  <c r="AP8" i="4"/>
  <c r="AR8" s="1"/>
  <c r="AT16" l="1"/>
  <c r="E18" i="11" s="1"/>
  <c r="B24" i="2"/>
  <c r="AF18" i="4"/>
  <c r="AT18" s="1"/>
  <c r="AT17"/>
  <c r="AH5"/>
  <c r="F7" i="11" s="1"/>
  <c r="AO13" i="4"/>
  <c r="O13" i="11" s="1"/>
  <c r="A18" i="2"/>
  <c r="H18" i="11"/>
  <c r="L18"/>
  <c r="F8"/>
  <c r="AN11" i="4"/>
  <c r="M11" i="11" s="1"/>
  <c r="AK9" i="4"/>
  <c r="AH9"/>
  <c r="F9" i="11" s="1"/>
  <c r="AQ9" i="4"/>
  <c r="AS9" s="1"/>
  <c r="E10" i="2" s="1"/>
  <c r="AP9" i="4"/>
  <c r="AR9" s="1"/>
  <c r="AG9"/>
  <c r="B11" i="11"/>
  <c r="I9" l="1"/>
  <c r="N13" i="2"/>
  <c r="AO14" i="4"/>
  <c r="O14" i="11" s="1"/>
  <c r="N14" i="2" s="1"/>
  <c r="AN12" i="4"/>
  <c r="M12" i="11" s="1"/>
  <c r="AK10" i="4"/>
  <c r="AH10"/>
  <c r="F10" i="11" s="1"/>
  <c r="AQ10" i="4"/>
  <c r="AS10" s="1"/>
  <c r="E11" i="2" s="1"/>
  <c r="AP10" i="4"/>
  <c r="AR10" s="1"/>
  <c r="AG10"/>
  <c r="AJ23"/>
  <c r="I10" i="11" l="1"/>
  <c r="AO15" i="4"/>
  <c r="O15" i="11" s="1"/>
  <c r="N15" i="2" s="1"/>
  <c r="M27" i="4"/>
  <c r="G23" i="7" s="1"/>
  <c r="J27" s="1"/>
  <c r="AN13" i="4"/>
  <c r="M13" i="11"/>
  <c r="AK11" i="4"/>
  <c r="I11" i="11" s="1"/>
  <c r="AF23" i="4"/>
  <c r="AH11"/>
  <c r="F11" i="11" s="1"/>
  <c r="AQ11" i="4"/>
  <c r="AS11" s="1"/>
  <c r="E12" i="2" s="1"/>
  <c r="AP11" i="4"/>
  <c r="AR11" s="1"/>
  <c r="AG11"/>
  <c r="D11" i="11" s="1"/>
  <c r="AO16" i="4" l="1"/>
  <c r="O16" i="11" s="1"/>
  <c r="I61" i="1"/>
  <c r="AN14" i="4"/>
  <c r="M14" i="11" s="1"/>
  <c r="AK12" i="4"/>
  <c r="I12" i="11" s="1"/>
  <c r="B12"/>
  <c r="AH23" i="4"/>
  <c r="F22" i="11" s="1"/>
  <c r="B22"/>
  <c r="AH12" i="4"/>
  <c r="AQ12"/>
  <c r="AS12" s="1"/>
  <c r="E13" i="2" s="1"/>
  <c r="AP12" i="4"/>
  <c r="AR12" s="1"/>
  <c r="AG12"/>
  <c r="D12" i="11" s="1"/>
  <c r="AO17" i="4" l="1"/>
  <c r="O17" i="11" s="1"/>
  <c r="I62" i="1"/>
  <c r="N16" i="2"/>
  <c r="AN15" i="4"/>
  <c r="M15" i="11" s="1"/>
  <c r="AK13" i="4"/>
  <c r="I13" i="11" s="1"/>
  <c r="B13"/>
  <c r="F12"/>
  <c r="AH13" i="4"/>
  <c r="AQ13"/>
  <c r="AS13" s="1"/>
  <c r="E14" i="2" s="1"/>
  <c r="AP13" i="4"/>
  <c r="AR13" s="1"/>
  <c r="AG13"/>
  <c r="D13" i="11" s="1"/>
  <c r="AO18" i="4" l="1"/>
  <c r="AO19" s="1"/>
  <c r="AO20" s="1"/>
  <c r="AO21" s="1"/>
  <c r="I63" i="1"/>
  <c r="N17" i="2"/>
  <c r="AN16" i="4"/>
  <c r="M16" i="11" s="1"/>
  <c r="AK14" i="4"/>
  <c r="B14" i="11"/>
  <c r="F13"/>
  <c r="AH14" i="4"/>
  <c r="AQ14"/>
  <c r="AS14" s="1"/>
  <c r="E15" i="2" s="1"/>
  <c r="AP14" i="4"/>
  <c r="AR14" s="1"/>
  <c r="AG14"/>
  <c r="O18" i="11" l="1"/>
  <c r="N18" i="2" s="1"/>
  <c r="N19" s="1"/>
  <c r="N26" s="1"/>
  <c r="D14" i="11"/>
  <c r="AG23" i="4"/>
  <c r="D22" i="11" s="1"/>
  <c r="I14"/>
  <c r="AK23" i="4"/>
  <c r="AN17"/>
  <c r="M17" i="11" s="1"/>
  <c r="AK15" i="4"/>
  <c r="B15" i="11"/>
  <c r="F14"/>
  <c r="AQ15" i="4"/>
  <c r="AS15" s="1"/>
  <c r="E16" i="2" s="1"/>
  <c r="AP15" i="4"/>
  <c r="AR15" s="1"/>
  <c r="AG15"/>
  <c r="D15" i="11" s="1"/>
  <c r="O19" l="1"/>
  <c r="O26" s="1"/>
  <c r="K63" i="3" s="1"/>
  <c r="M64" s="1"/>
  <c r="BM2" i="4" s="1"/>
  <c r="I64" i="1"/>
  <c r="I65" s="1"/>
  <c r="M38" i="4" s="1"/>
  <c r="I15" i="11"/>
  <c r="AN18" i="4"/>
  <c r="AN19" s="1"/>
  <c r="AN20" s="1"/>
  <c r="AN21" s="1"/>
  <c r="AK16"/>
  <c r="B16" i="11"/>
  <c r="AQ16" i="4"/>
  <c r="AS16" s="1"/>
  <c r="E17" i="2" s="1"/>
  <c r="AP16" i="4"/>
  <c r="AR16" s="1"/>
  <c r="AG16"/>
  <c r="D16" i="11" l="1"/>
  <c r="AG25" i="4"/>
  <c r="D24" i="11" s="1"/>
  <c r="I16"/>
  <c r="AK25" i="4"/>
  <c r="M18" i="11"/>
  <c r="AK24" i="4"/>
  <c r="AH15"/>
  <c r="AK17"/>
  <c r="I17" i="11" s="1"/>
  <c r="B17"/>
  <c r="AH17" i="4"/>
  <c r="AH16" s="1"/>
  <c r="AQ17"/>
  <c r="AS17" s="1"/>
  <c r="AP17"/>
  <c r="AR17" s="1"/>
  <c r="AG17"/>
  <c r="E18" i="2" l="1"/>
  <c r="E19" s="1"/>
  <c r="E26" s="1"/>
  <c r="E19" i="11"/>
  <c r="E26" s="1"/>
  <c r="D24" i="2"/>
  <c r="H24" s="1"/>
  <c r="J24" i="11"/>
  <c r="F16"/>
  <c r="F15"/>
  <c r="D17"/>
  <c r="F17"/>
  <c r="AH18" i="4"/>
  <c r="F18" i="11" s="1"/>
  <c r="AQ18" i="4"/>
  <c r="AS18" s="1"/>
  <c r="AS22" s="1"/>
  <c r="AG18"/>
  <c r="D18" i="11" s="1"/>
  <c r="AP18" i="4"/>
  <c r="AR18" s="1"/>
  <c r="AI18"/>
  <c r="AK18"/>
  <c r="I18" i="11" s="1"/>
  <c r="B18"/>
  <c r="D22" i="2"/>
  <c r="K21" i="11" l="1"/>
  <c r="AQ22" i="4"/>
  <c r="D21" i="11" s="1"/>
  <c r="J21" s="1"/>
  <c r="AI17" i="4"/>
  <c r="AI16" s="1"/>
  <c r="M19" i="11"/>
  <c r="G22" i="2"/>
  <c r="G23"/>
  <c r="AH24" i="4"/>
  <c r="K16" i="2"/>
  <c r="J16"/>
  <c r="B16"/>
  <c r="D16"/>
  <c r="F16"/>
  <c r="B7"/>
  <c r="B19" i="11"/>
  <c r="B26" s="1"/>
  <c r="B12" i="2"/>
  <c r="J12"/>
  <c r="K12"/>
  <c r="D12"/>
  <c r="F12"/>
  <c r="K10"/>
  <c r="F10"/>
  <c r="J10"/>
  <c r="B10"/>
  <c r="D14"/>
  <c r="K14"/>
  <c r="B14"/>
  <c r="J14"/>
  <c r="F14"/>
  <c r="B11"/>
  <c r="F11"/>
  <c r="J11"/>
  <c r="K11"/>
  <c r="D11"/>
  <c r="B18"/>
  <c r="F18"/>
  <c r="K18"/>
  <c r="J18"/>
  <c r="D18"/>
  <c r="J15"/>
  <c r="K15"/>
  <c r="D15"/>
  <c r="F15"/>
  <c r="B15"/>
  <c r="D13"/>
  <c r="F13"/>
  <c r="K13"/>
  <c r="J13"/>
  <c r="B13"/>
  <c r="F17"/>
  <c r="B17"/>
  <c r="D17"/>
  <c r="J17"/>
  <c r="K17"/>
  <c r="B8"/>
  <c r="K8"/>
  <c r="F8"/>
  <c r="J8"/>
  <c r="J9"/>
  <c r="K9"/>
  <c r="B9"/>
  <c r="F9"/>
  <c r="AI15" i="4" l="1"/>
  <c r="AI24"/>
  <c r="AI14"/>
  <c r="G16" i="11" s="1"/>
  <c r="G16" i="2" s="1"/>
  <c r="H16" s="1"/>
  <c r="G18" i="11"/>
  <c r="G18" i="2" s="1"/>
  <c r="H18" s="1"/>
  <c r="G17" i="11"/>
  <c r="G17" i="2" s="1"/>
  <c r="H17" s="1"/>
  <c r="D21"/>
  <c r="H21" s="1"/>
  <c r="I21"/>
  <c r="F23" i="11"/>
  <c r="F23" i="2" s="1"/>
  <c r="H19" i="11"/>
  <c r="H26" s="1"/>
  <c r="I19"/>
  <c r="I26" s="1"/>
  <c r="F22" i="2"/>
  <c r="M26" i="11"/>
  <c r="I41" i="1" s="1"/>
  <c r="I36" i="3" s="1"/>
  <c r="K36" s="1"/>
  <c r="M36" s="1"/>
  <c r="K7" i="2"/>
  <c r="K19" s="1"/>
  <c r="K26" s="1"/>
  <c r="I7"/>
  <c r="L19" i="11"/>
  <c r="L26" s="1"/>
  <c r="I40" i="1" s="1"/>
  <c r="I35" i="3" s="1"/>
  <c r="K35" s="1"/>
  <c r="M35" s="1"/>
  <c r="J7" i="2"/>
  <c r="J19" s="1"/>
  <c r="J26" s="1"/>
  <c r="F7"/>
  <c r="F19" s="1"/>
  <c r="F19" i="11"/>
  <c r="D7" i="2"/>
  <c r="B19"/>
  <c r="B23"/>
  <c r="J18" i="11" l="1"/>
  <c r="N18" s="1"/>
  <c r="M18" i="2" s="1"/>
  <c r="J16" i="11"/>
  <c r="N16" s="1"/>
  <c r="M16" i="2" s="1"/>
  <c r="J17" i="11"/>
  <c r="N17" s="1"/>
  <c r="M17" i="2" s="1"/>
  <c r="AI23" i="4"/>
  <c r="AI13"/>
  <c r="AI25" s="1"/>
  <c r="F26" i="11"/>
  <c r="K9" i="1" s="1"/>
  <c r="F26" i="2"/>
  <c r="B22"/>
  <c r="H22" s="1"/>
  <c r="J22" i="11"/>
  <c r="AI12" i="4" l="1"/>
  <c r="G15" i="11"/>
  <c r="B26" i="2"/>
  <c r="AX11" i="4"/>
  <c r="AG8"/>
  <c r="D10" i="11" s="1"/>
  <c r="AP6" i="4"/>
  <c r="AR6" s="1"/>
  <c r="AG7"/>
  <c r="D8" i="11" s="1"/>
  <c r="G15" i="2" l="1"/>
  <c r="H15" s="1"/>
  <c r="J15" i="11"/>
  <c r="N15" s="1"/>
  <c r="M15" i="2" s="1"/>
  <c r="AI11" i="4"/>
  <c r="G14" i="11"/>
  <c r="K8"/>
  <c r="I8" i="2" s="1"/>
  <c r="D8"/>
  <c r="D9" i="11"/>
  <c r="K9" s="1"/>
  <c r="I9" i="2" s="1"/>
  <c r="AG24" i="4"/>
  <c r="D23" i="11" s="1"/>
  <c r="AL8" i="4"/>
  <c r="K10" i="11" s="1"/>
  <c r="I10" i="2" s="1"/>
  <c r="D10"/>
  <c r="AP4" i="4"/>
  <c r="AR4" s="1"/>
  <c r="AP3"/>
  <c r="AR3" s="1"/>
  <c r="AP5"/>
  <c r="AR5" s="1"/>
  <c r="AR22" l="1"/>
  <c r="G14" i="2"/>
  <c r="H14" s="1"/>
  <c r="J14" i="11"/>
  <c r="N14" s="1"/>
  <c r="M14" i="2" s="1"/>
  <c r="AI10" i="4"/>
  <c r="AI9" s="1"/>
  <c r="AI8" s="1"/>
  <c r="AI7" s="1"/>
  <c r="AI6" s="1"/>
  <c r="G13" i="11"/>
  <c r="D9" i="2"/>
  <c r="D19" s="1"/>
  <c r="D19" i="11"/>
  <c r="D23" i="2"/>
  <c r="H23" s="1"/>
  <c r="J23" i="11"/>
  <c r="AL9" i="4"/>
  <c r="K11" i="11" s="1"/>
  <c r="AP22" i="4"/>
  <c r="D20" i="11" s="1"/>
  <c r="K20" l="1"/>
  <c r="G10"/>
  <c r="G10" i="2" s="1"/>
  <c r="H10" s="1"/>
  <c r="G9" i="11"/>
  <c r="G12"/>
  <c r="J12" s="1"/>
  <c r="N12" s="1"/>
  <c r="M12" i="2" s="1"/>
  <c r="G11" i="11"/>
  <c r="AI5" i="4"/>
  <c r="G8" i="11"/>
  <c r="G13" i="2"/>
  <c r="H13" s="1"/>
  <c r="J13" i="11"/>
  <c r="N13" s="1"/>
  <c r="M13" i="2" s="1"/>
  <c r="D26" i="11"/>
  <c r="AL10" i="4"/>
  <c r="AL11" s="1"/>
  <c r="I11" i="2"/>
  <c r="D20"/>
  <c r="H20" s="1"/>
  <c r="J20" i="11"/>
  <c r="G12" i="2" l="1"/>
  <c r="H12" s="1"/>
  <c r="J10" i="11"/>
  <c r="N10" s="1"/>
  <c r="M10" i="2" s="1"/>
  <c r="I12" i="1"/>
  <c r="I13" s="1"/>
  <c r="G9" i="2"/>
  <c r="H9" s="1"/>
  <c r="J9" i="11"/>
  <c r="N9" s="1"/>
  <c r="M9" i="2" s="1"/>
  <c r="K12" i="11"/>
  <c r="I12" i="2" s="1"/>
  <c r="G11"/>
  <c r="H11" s="1"/>
  <c r="J11" i="11"/>
  <c r="N11" s="1"/>
  <c r="M11" i="2" s="1"/>
  <c r="AI4" i="4"/>
  <c r="AI3" s="1"/>
  <c r="G7" i="11"/>
  <c r="G8" i="2"/>
  <c r="H8" s="1"/>
  <c r="J8" i="11"/>
  <c r="N8" s="1"/>
  <c r="M8" i="2" s="1"/>
  <c r="D26"/>
  <c r="I14" i="1" s="1"/>
  <c r="K13" i="11"/>
  <c r="I13" i="2" s="1"/>
  <c r="AL12" i="4"/>
  <c r="I20" i="2"/>
  <c r="K15" i="1" l="1"/>
  <c r="I16" i="3" s="1"/>
  <c r="K18" s="1"/>
  <c r="J7" i="11"/>
  <c r="G7" i="2"/>
  <c r="G19" i="11"/>
  <c r="G26" s="1"/>
  <c r="K14"/>
  <c r="AL13" i="4"/>
  <c r="N7" i="11" l="1"/>
  <c r="J19"/>
  <c r="J26" s="1"/>
  <c r="M28" s="1"/>
  <c r="G19" i="2"/>
  <c r="G26" s="1"/>
  <c r="H7"/>
  <c r="H19" s="1"/>
  <c r="H26" s="1"/>
  <c r="L28" s="1"/>
  <c r="L30" s="1"/>
  <c r="K15" i="11"/>
  <c r="I15" i="2" s="1"/>
  <c r="AL14" i="4"/>
  <c r="I14" i="2"/>
  <c r="M30" i="11" l="1"/>
  <c r="I11" i="3"/>
  <c r="K14" s="1"/>
  <c r="K7" i="1"/>
  <c r="K16" s="1"/>
  <c r="M7" i="2"/>
  <c r="M19" s="1"/>
  <c r="M26" s="1"/>
  <c r="N19" i="11"/>
  <c r="N26" s="1"/>
  <c r="AL15" i="4"/>
  <c r="K16" i="11"/>
  <c r="I16" i="2" s="1"/>
  <c r="I17" i="1" l="1"/>
  <c r="K19" s="1"/>
  <c r="K25" s="1"/>
  <c r="I22" i="3"/>
  <c r="K23" s="1"/>
  <c r="M33" i="4" s="1"/>
  <c r="K19" i="3"/>
  <c r="M32" i="4"/>
  <c r="K17" i="11"/>
  <c r="I17" i="2" s="1"/>
  <c r="AL16" i="4"/>
  <c r="M24" i="3" l="1"/>
  <c r="M29" s="1"/>
  <c r="AK19" i="10" s="1"/>
  <c r="K18" i="11"/>
  <c r="AL17" i="4"/>
  <c r="AL18" s="1"/>
  <c r="AL19" s="1"/>
  <c r="AL20" s="1"/>
  <c r="AL21" s="1"/>
  <c r="M34" l="1"/>
  <c r="J15" i="7"/>
  <c r="AK24" i="10"/>
  <c r="I18" i="2"/>
  <c r="I19" s="1"/>
  <c r="I26" s="1"/>
  <c r="K19" i="11"/>
  <c r="K26" s="1"/>
  <c r="I39" i="1" s="1"/>
  <c r="I55" l="1"/>
  <c r="K55" s="1"/>
  <c r="I27" s="1"/>
  <c r="I35" s="1"/>
  <c r="K35" s="1"/>
  <c r="K36" s="1"/>
  <c r="K57" s="1"/>
  <c r="I34" i="3"/>
  <c r="K34" l="1"/>
  <c r="I45"/>
  <c r="M34" l="1"/>
  <c r="M45" s="1"/>
  <c r="K45"/>
  <c r="M54" l="1"/>
  <c r="J26" i="10"/>
  <c r="AK30" s="1"/>
  <c r="M35" i="4" l="1"/>
  <c r="M55" i="3"/>
  <c r="K57" s="1"/>
  <c r="J16" i="7"/>
  <c r="J17" s="1"/>
  <c r="AK31" i="10"/>
  <c r="AK33" s="1"/>
  <c r="AW15" i="4" l="1"/>
  <c r="AY15" s="1"/>
  <c r="M36"/>
  <c r="M58" i="3" l="1"/>
  <c r="AA37" i="10" s="1"/>
  <c r="K59" i="1"/>
  <c r="K37"/>
  <c r="K56" s="1"/>
  <c r="M56" i="3"/>
  <c r="AK34" i="10" s="1"/>
  <c r="M59" i="3" l="1"/>
  <c r="M60" s="1"/>
  <c r="K58" i="1"/>
  <c r="K60" s="1"/>
  <c r="AA36" i="10"/>
  <c r="BN2" i="4"/>
  <c r="A72" i="3" s="1"/>
  <c r="AA38" i="10" l="1"/>
  <c r="AK39" s="1"/>
  <c r="M62" i="3"/>
  <c r="M65" s="1"/>
  <c r="AK42" i="10" l="1"/>
  <c r="AK47" s="1"/>
  <c r="J19" i="7"/>
  <c r="J21" s="1"/>
  <c r="J28" s="1"/>
  <c r="M37" i="4"/>
  <c r="B65" i="3"/>
  <c r="M39" i="4"/>
  <c r="L39" s="1"/>
  <c r="J29" i="7"/>
</calcChain>
</file>

<file path=xl/sharedStrings.xml><?xml version="1.0" encoding="utf-8"?>
<sst xmlns="http://schemas.openxmlformats.org/spreadsheetml/2006/main" count="1085" uniqueCount="732">
  <si>
    <t>ANNEXURE - 1</t>
  </si>
  <si>
    <t>PAN No.</t>
  </si>
  <si>
    <t>H.R.A. Exemption u/s 10 (13A)</t>
  </si>
  <si>
    <t xml:space="preserve">A) </t>
  </si>
  <si>
    <t>B)</t>
  </si>
  <si>
    <t>Excess of rent paid over and above 10% of basic</t>
  </si>
  <si>
    <t xml:space="preserve">i) </t>
  </si>
  <si>
    <t>Actual rent paid per annum</t>
  </si>
  <si>
    <t>ii)</t>
  </si>
  <si>
    <t>C)</t>
  </si>
  <si>
    <t>Less: Profession tax paid</t>
  </si>
  <si>
    <t>Add any other income received by the employee. Specify the details:</t>
  </si>
  <si>
    <t>Interest on previous N.S.Cs</t>
  </si>
  <si>
    <t>Income from house property</t>
  </si>
  <si>
    <t>Total</t>
  </si>
  <si>
    <t>Gross total income (8+9)</t>
  </si>
  <si>
    <t>Deductions under Chapter VI-A</t>
  </si>
  <si>
    <t>i</t>
  </si>
  <si>
    <t>G.P.F.</t>
  </si>
  <si>
    <t>ii</t>
  </si>
  <si>
    <t>iii</t>
  </si>
  <si>
    <t>iv</t>
  </si>
  <si>
    <t>A.P.G.L.I.</t>
  </si>
  <si>
    <t>v</t>
  </si>
  <si>
    <t>vi</t>
  </si>
  <si>
    <t>G.I.S.</t>
  </si>
  <si>
    <t>vii</t>
  </si>
  <si>
    <t>viii</t>
  </si>
  <si>
    <t>ix</t>
  </si>
  <si>
    <t>x</t>
  </si>
  <si>
    <t>xi</t>
  </si>
  <si>
    <t>xii</t>
  </si>
  <si>
    <t>xiii</t>
  </si>
  <si>
    <t>xiv</t>
  </si>
  <si>
    <t>Aggregate of deductable amount under chapter VI-A</t>
  </si>
  <si>
    <t>Net taxable Income ( Col.10- 12)</t>
  </si>
  <si>
    <t>INCOME TAX ON TOTAL INCOME AT COL.No.13</t>
  </si>
  <si>
    <t>Income Tax actually to be paid ( Col.14 )</t>
  </si>
  <si>
    <t>Tax to be deducted from salary for the month of</t>
  </si>
  <si>
    <t>RENT DECLARATION</t>
  </si>
  <si>
    <t>Date</t>
  </si>
  <si>
    <t>Signature &amp; Designation</t>
  </si>
  <si>
    <t>Month</t>
  </si>
  <si>
    <t>Deductions towards</t>
  </si>
  <si>
    <t>Grand Total</t>
  </si>
  <si>
    <t>Rs.</t>
  </si>
  <si>
    <t>SIGNATURE OF THE GOVT. EMPLOYEE</t>
  </si>
  <si>
    <t>Designation</t>
  </si>
  <si>
    <t>Income chargeable under head salaries { col.5-(6+7) }</t>
  </si>
  <si>
    <t>DA Arrear</t>
  </si>
  <si>
    <t>Gross Salary</t>
  </si>
  <si>
    <t>a.</t>
  </si>
  <si>
    <t>Salary as per provisions contained in Sections 17 (1)</t>
  </si>
  <si>
    <t>b.</t>
  </si>
  <si>
    <t>Value of prerequisites U/s 17(2) ( as per Form No.12BA, wherever applicable )</t>
  </si>
  <si>
    <t>c.</t>
  </si>
  <si>
    <t>d.</t>
  </si>
  <si>
    <t>Less: Allowance to the extent exempt U/s 10</t>
  </si>
  <si>
    <t>Balance (1-2)</t>
  </si>
  <si>
    <t>Deduction U/s 16</t>
  </si>
  <si>
    <t>Tax on Employment</t>
  </si>
  <si>
    <t>Aggregate of 4(a) to 4(b)</t>
  </si>
  <si>
    <t>Deductions Under Chapter VI-A</t>
  </si>
  <si>
    <t>Gross Amount</t>
  </si>
  <si>
    <t>Qualifying Amount</t>
  </si>
  <si>
    <t>Deductable Amount</t>
  </si>
  <si>
    <t>Income chargeable under the head "salaries" (3-5)</t>
  </si>
  <si>
    <t>i)</t>
  </si>
  <si>
    <t>iii)</t>
  </si>
  <si>
    <t>iv)</t>
  </si>
  <si>
    <t>v)</t>
  </si>
  <si>
    <t>vi)</t>
  </si>
  <si>
    <t>vii)</t>
  </si>
  <si>
    <t>viii)</t>
  </si>
  <si>
    <t xml:space="preserve">(B) </t>
  </si>
  <si>
    <t>Excess rent paid (i-ii)</t>
  </si>
  <si>
    <t>U/Section 80-C ( as furinished at Col.15 )</t>
  </si>
  <si>
    <t>Add Education Cess @ 3 % on Income Tax payable at Col.16</t>
  </si>
  <si>
    <t>Add: Any other income reported by the employee</t>
  </si>
  <si>
    <t>Aggregate of amounts deductable under chapter VI-A</t>
  </si>
  <si>
    <t>TOTAL INCOME (8-10)</t>
  </si>
  <si>
    <t>TAX ON TOTAL INCOME</t>
  </si>
  <si>
    <t>Surcharge ( on tax computed at S.No.12 )</t>
  </si>
  <si>
    <t>Relief under Section 89 ( attach details)</t>
  </si>
  <si>
    <t>Tax payable(15-16)</t>
  </si>
  <si>
    <t>Less</t>
  </si>
  <si>
    <t>HRA</t>
  </si>
  <si>
    <t>APGLI</t>
  </si>
  <si>
    <t>GIS</t>
  </si>
  <si>
    <t>Pay</t>
  </si>
  <si>
    <t>DA</t>
  </si>
  <si>
    <t>CCA</t>
  </si>
  <si>
    <t>PT</t>
  </si>
  <si>
    <t>IT</t>
  </si>
  <si>
    <t>Signature of the person responsible for deduction of tax</t>
  </si>
  <si>
    <t>Cheque No.</t>
  </si>
  <si>
    <t>TDS Circle where annual/ Statement U/s 206 is to be filled</t>
  </si>
  <si>
    <t>Add Surcharge @10% on Income Tax Payable at Col.16 if the total net taxable income @ Col.13 exceeds Rs.10 lakhs.</t>
  </si>
  <si>
    <t>PAN Number</t>
  </si>
  <si>
    <t xml:space="preserve">Father </t>
  </si>
  <si>
    <t>15 days</t>
  </si>
  <si>
    <t>No</t>
  </si>
  <si>
    <t>Name of the DDO</t>
  </si>
  <si>
    <t>Male</t>
  </si>
  <si>
    <t>Female</t>
  </si>
  <si>
    <t>Tax Payable(12+13+14)</t>
  </si>
  <si>
    <t xml:space="preserve"> one</t>
  </si>
  <si>
    <t xml:space="preserve"> two</t>
  </si>
  <si>
    <t xml:space="preserve"> three</t>
  </si>
  <si>
    <t xml:space="preserve"> four</t>
  </si>
  <si>
    <t xml:space="preserve"> five</t>
  </si>
  <si>
    <t xml:space="preserve"> six</t>
  </si>
  <si>
    <t xml:space="preserve"> seven</t>
  </si>
  <si>
    <t xml:space="preserve"> eight</t>
  </si>
  <si>
    <t xml:space="preserve"> nine</t>
  </si>
  <si>
    <t xml:space="preserve"> ten</t>
  </si>
  <si>
    <t xml:space="preserve"> eleven</t>
  </si>
  <si>
    <t xml:space="preserve"> twelve</t>
  </si>
  <si>
    <t xml:space="preserve"> thirteen</t>
  </si>
  <si>
    <t xml:space="preserve"> fourteen</t>
  </si>
  <si>
    <t xml:space="preserve"> fifteen</t>
  </si>
  <si>
    <t xml:space="preserve"> sixteen</t>
  </si>
  <si>
    <t xml:space="preserve"> seventeen</t>
  </si>
  <si>
    <t xml:space="preserve"> eighteen</t>
  </si>
  <si>
    <t xml:space="preserve"> twenty</t>
  </si>
  <si>
    <t xml:space="preserve"> twenty one</t>
  </si>
  <si>
    <t xml:space="preserve"> twenty two</t>
  </si>
  <si>
    <t xml:space="preserve"> twenty three</t>
  </si>
  <si>
    <t xml:space="preserve"> twenty four</t>
  </si>
  <si>
    <t xml:space="preserve"> twenty five</t>
  </si>
  <si>
    <t xml:space="preserve"> twenty six</t>
  </si>
  <si>
    <t xml:space="preserve"> twenty seven</t>
  </si>
  <si>
    <t xml:space="preserve"> twenty eight</t>
  </si>
  <si>
    <t xml:space="preserve"> twenty nine</t>
  </si>
  <si>
    <t xml:space="preserve"> thirty </t>
  </si>
  <si>
    <t xml:space="preserve"> thirty one</t>
  </si>
  <si>
    <t xml:space="preserve"> thirty two</t>
  </si>
  <si>
    <t xml:space="preserve"> thirty three</t>
  </si>
  <si>
    <t xml:space="preserve"> thirty four</t>
  </si>
  <si>
    <t xml:space="preserve"> thirty five</t>
  </si>
  <si>
    <t xml:space="preserve"> thirty six</t>
  </si>
  <si>
    <t xml:space="preserve"> thirty seven</t>
  </si>
  <si>
    <t xml:space="preserve"> thirty eight</t>
  </si>
  <si>
    <t xml:space="preserve"> thirty nine</t>
  </si>
  <si>
    <t xml:space="preserve"> fifty </t>
  </si>
  <si>
    <t xml:space="preserve"> fifty one</t>
  </si>
  <si>
    <t xml:space="preserve"> fifty two</t>
  </si>
  <si>
    <t xml:space="preserve"> fifty three</t>
  </si>
  <si>
    <t xml:space="preserve"> fifty four</t>
  </si>
  <si>
    <t xml:space="preserve"> fifty five</t>
  </si>
  <si>
    <t xml:space="preserve"> fifty six</t>
  </si>
  <si>
    <t xml:space="preserve"> fifty seven</t>
  </si>
  <si>
    <t xml:space="preserve"> fifty eight</t>
  </si>
  <si>
    <t xml:space="preserve"> fifty nine</t>
  </si>
  <si>
    <t xml:space="preserve"> sixty </t>
  </si>
  <si>
    <t xml:space="preserve"> sixty one</t>
  </si>
  <si>
    <t xml:space="preserve"> sixty two</t>
  </si>
  <si>
    <t xml:space="preserve"> sixty three</t>
  </si>
  <si>
    <t xml:space="preserve"> sixty four</t>
  </si>
  <si>
    <t xml:space="preserve"> sixty five</t>
  </si>
  <si>
    <t xml:space="preserve"> sixty six</t>
  </si>
  <si>
    <t xml:space="preserve"> sixty seven</t>
  </si>
  <si>
    <t xml:space="preserve"> sixty eight</t>
  </si>
  <si>
    <t xml:space="preserve"> sixty nine</t>
  </si>
  <si>
    <t xml:space="preserve"> seventy </t>
  </si>
  <si>
    <t xml:space="preserve"> seventy one</t>
  </si>
  <si>
    <t xml:space="preserve"> seventy two</t>
  </si>
  <si>
    <t xml:space="preserve"> seventy three</t>
  </si>
  <si>
    <t xml:space="preserve"> seventy four</t>
  </si>
  <si>
    <t xml:space="preserve"> seventy five</t>
  </si>
  <si>
    <t xml:space="preserve"> seventy six</t>
  </si>
  <si>
    <t xml:space="preserve"> seventy seven</t>
  </si>
  <si>
    <t xml:space="preserve"> seventy eight</t>
  </si>
  <si>
    <t xml:space="preserve"> seventy nine</t>
  </si>
  <si>
    <t xml:space="preserve"> eighty </t>
  </si>
  <si>
    <t xml:space="preserve"> eighty one</t>
  </si>
  <si>
    <t xml:space="preserve"> eighty two</t>
  </si>
  <si>
    <t xml:space="preserve"> eighty three</t>
  </si>
  <si>
    <t xml:space="preserve"> eighty four</t>
  </si>
  <si>
    <t xml:space="preserve"> eighty five</t>
  </si>
  <si>
    <t xml:space="preserve"> eighty six</t>
  </si>
  <si>
    <t xml:space="preserve"> eighty seven</t>
  </si>
  <si>
    <t xml:space="preserve"> eighty eight</t>
  </si>
  <si>
    <t xml:space="preserve"> eighty nine</t>
  </si>
  <si>
    <t xml:space="preserve"> ninety </t>
  </si>
  <si>
    <t xml:space="preserve"> ninety one</t>
  </si>
  <si>
    <t xml:space="preserve"> ninety two</t>
  </si>
  <si>
    <t xml:space="preserve"> ninety three</t>
  </si>
  <si>
    <t xml:space="preserve"> ninety four</t>
  </si>
  <si>
    <t xml:space="preserve"> ninety five</t>
  </si>
  <si>
    <t xml:space="preserve"> ninety six</t>
  </si>
  <si>
    <t xml:space="preserve"> ninety seven</t>
  </si>
  <si>
    <t xml:space="preserve"> ninety eight</t>
  </si>
  <si>
    <t xml:space="preserve"> ninety nine</t>
  </si>
  <si>
    <t>(a) Section</t>
  </si>
  <si>
    <t>(b) Section</t>
  </si>
  <si>
    <t>(c) Section</t>
  </si>
  <si>
    <t>(d) Section</t>
  </si>
  <si>
    <t>(e) Section</t>
  </si>
  <si>
    <t>(b) Section 80 CCC</t>
  </si>
  <si>
    <t>(c) Section 80 CCD</t>
  </si>
  <si>
    <t>Period</t>
  </si>
  <si>
    <t>Monthly</t>
  </si>
  <si>
    <t>Quarterly</t>
  </si>
  <si>
    <t>Annually</t>
  </si>
  <si>
    <t>Name and Address of the Employer</t>
  </si>
  <si>
    <t xml:space="preserve">              Certified that the particulars furnished in this annexure are true and correct.</t>
  </si>
  <si>
    <t>Challan 
Serial No.</t>
  </si>
  <si>
    <t>Other section (eg.80E, 80G etc) under chapter VI-A</t>
  </si>
  <si>
    <t>Deduction u/s 10 (13A) H.R.A.</t>
  </si>
  <si>
    <t>Date of 
Payment</t>
  </si>
  <si>
    <t>Date :</t>
  </si>
  <si>
    <t>Full Name:</t>
  </si>
  <si>
    <t>Designation:</t>
  </si>
  <si>
    <t>1)</t>
  </si>
  <si>
    <t>2)</t>
  </si>
  <si>
    <t>Amount if any received from other sources ( other than salary) such as examination remuneration, paper valuation etc., during the year</t>
  </si>
  <si>
    <t>Total:</t>
  </si>
  <si>
    <t>Name and designation of the Governmnet servant with detailed residential address</t>
  </si>
  <si>
    <t>AMOUNT OF TAX
DEPOSITED</t>
  </si>
  <si>
    <t>a)</t>
  </si>
  <si>
    <t>(a)</t>
  </si>
  <si>
    <t>(b)</t>
  </si>
  <si>
    <t>Tax deducted at source U/s 192(1)</t>
  </si>
  <si>
    <t>Tax paid by the employer on behalf of the employee U/s 192(1) on prerequisites U/s 17(2)</t>
  </si>
  <si>
    <t>Promotion</t>
  </si>
  <si>
    <t>Increment</t>
  </si>
  <si>
    <t>Office Address</t>
  </si>
  <si>
    <t>Home Address</t>
  </si>
  <si>
    <t>EWF
CMRF</t>
  </si>
  <si>
    <t>Half-yearly</t>
  </si>
  <si>
    <t>Deduct (A) or (B) or (C) whichever is less for H.R.A. exemption</t>
  </si>
  <si>
    <t>40% of Salary ( Pay + DA )</t>
  </si>
  <si>
    <t>March</t>
  </si>
  <si>
    <t>DETAILS OF TAX DEDUCTED AND DEPOSITED INTO CENTRAL GOVERNMENT ACCOUNT</t>
  </si>
  <si>
    <t>FORM NO.16AA</t>
  </si>
  <si>
    <t>TAN</t>
  </si>
  <si>
    <t>PAN/GIR No.</t>
  </si>
  <si>
    <t>Profits in lieu of salary under section 17(3) ( as per Form No.12BA, wherever applicable )</t>
  </si>
  <si>
    <t>Entertainment allowance</t>
  </si>
  <si>
    <t>Income under the head ' Income from other sources</t>
  </si>
  <si>
    <t>Total of (a) + (b)</t>
  </si>
  <si>
    <t>Gross total income (6+7)</t>
  </si>
  <si>
    <t>Name and Designation of the employee</t>
  </si>
  <si>
    <t xml:space="preserve">PERSONALINFORMATION </t>
  </si>
  <si>
    <t>PAN</t>
  </si>
  <si>
    <t>Flat/Door/Block No</t>
  </si>
  <si>
    <t>Area/Locality</t>
  </si>
  <si>
    <t>Original or Revised</t>
  </si>
  <si>
    <t>Gross total income</t>
  </si>
  <si>
    <t>Deductions under Chapter-VI-A</t>
  </si>
  <si>
    <t xml:space="preserve">Total Income </t>
  </si>
  <si>
    <t>3a</t>
  </si>
  <si>
    <t>Current Year loss (if any)</t>
  </si>
  <si>
    <t>Net tax payable</t>
  </si>
  <si>
    <t>Interest payable</t>
  </si>
  <si>
    <t>Total tax and interest payable</t>
  </si>
  <si>
    <t>Taxes Paid</t>
  </si>
  <si>
    <t>a</t>
  </si>
  <si>
    <t xml:space="preserve">Advance Tax </t>
  </si>
  <si>
    <t>7a</t>
  </si>
  <si>
    <t>b</t>
  </si>
  <si>
    <t xml:space="preserve">TDS </t>
  </si>
  <si>
    <t>7b</t>
  </si>
  <si>
    <t>c</t>
  </si>
  <si>
    <t xml:space="preserve">TCS </t>
  </si>
  <si>
    <t>7c</t>
  </si>
  <si>
    <t>d</t>
  </si>
  <si>
    <t xml:space="preserve">Self Assessment Tax </t>
  </si>
  <si>
    <t>7d</t>
  </si>
  <si>
    <t>e</t>
  </si>
  <si>
    <t>Total Taxes Paid (7a+7b+7c +7d)</t>
  </si>
  <si>
    <t>7e</t>
  </si>
  <si>
    <t xml:space="preserve">Tax Payable (6-7e) </t>
  </si>
  <si>
    <t>Value of Fringe Benefits</t>
  </si>
  <si>
    <t>Total fringe benefit tax liability</t>
  </si>
  <si>
    <t>Total interest payable</t>
  </si>
  <si>
    <t>14a</t>
  </si>
  <si>
    <t>14b</t>
  </si>
  <si>
    <t>Total Taxes Paid (14a+14b)</t>
  </si>
  <si>
    <t>14c</t>
  </si>
  <si>
    <t>Refund (14c – 13)</t>
  </si>
  <si>
    <t>Receipt No</t>
  </si>
  <si>
    <t>Seal and Signature of receiving official</t>
  </si>
  <si>
    <t>Name</t>
  </si>
  <si>
    <t>Road/Street/Post Office</t>
  </si>
  <si>
    <t xml:space="preserve">Town/City/District </t>
  </si>
  <si>
    <t>Name Of Premises/Building/Village</t>
  </si>
  <si>
    <t>State</t>
  </si>
  <si>
    <t>Designation of Assessing Officer (Ward/ Circle)</t>
  </si>
  <si>
    <t>COMPUTATION OF INCOME
 AND TAX THEREON</t>
  </si>
  <si>
    <t>COMPUTATION OF FRINGE 
BENEFITS AND TAX TEREON</t>
  </si>
  <si>
    <t>INCOME-TAX DEPARTMENT
ACKNOWLEDGEMENT</t>
  </si>
  <si>
    <r>
      <t>Refund (7e-6)</t>
    </r>
    <r>
      <rPr>
        <i/>
        <sz val="9"/>
        <rFont val="Times New Roman"/>
        <family val="1"/>
      </rPr>
      <t xml:space="preserve"> </t>
    </r>
  </si>
  <si>
    <t>ANDHRAPRADESH</t>
  </si>
  <si>
    <t>GOVERNMENT OF INDIA</t>
  </si>
  <si>
    <t>PERSONAL INFORMATION</t>
  </si>
  <si>
    <t>First name</t>
  </si>
  <si>
    <t>Middle name</t>
  </si>
  <si>
    <t>Last name</t>
  </si>
  <si>
    <t>Town/City/District</t>
  </si>
  <si>
    <t>Email Address</t>
  </si>
  <si>
    <t>FILING STATUS</t>
  </si>
  <si>
    <t>INCOME &amp; DEDUCTIONS</t>
  </si>
  <si>
    <t>Income chargeable under the Head ‘Salaries’(Salary/ Pension)</t>
  </si>
  <si>
    <t>Income chargeable under the Head ‘Other Sources’</t>
  </si>
  <si>
    <t>Family pension</t>
  </si>
  <si>
    <t>2a</t>
  </si>
  <si>
    <t>Interest</t>
  </si>
  <si>
    <t>2b</t>
  </si>
  <si>
    <t>Total (2a+2b)</t>
  </si>
  <si>
    <t>2c</t>
  </si>
  <si>
    <t>Gross Total Income (1+2c)</t>
  </si>
  <si>
    <t>Deductions under chapter VI A (Section)</t>
  </si>
  <si>
    <t xml:space="preserve">80C </t>
  </si>
  <si>
    <t>80DD</t>
  </si>
  <si>
    <t>80GG</t>
  </si>
  <si>
    <t>80CCC</t>
  </si>
  <si>
    <t>f</t>
  </si>
  <si>
    <t>80DDB</t>
  </si>
  <si>
    <t>j</t>
  </si>
  <si>
    <t>80GGA</t>
  </si>
  <si>
    <t>80CCD</t>
  </si>
  <si>
    <t>g</t>
  </si>
  <si>
    <t>80E</t>
  </si>
  <si>
    <t>k</t>
  </si>
  <si>
    <t>80GGC</t>
  </si>
  <si>
    <t>80D</t>
  </si>
  <si>
    <t>h</t>
  </si>
  <si>
    <t>80G</t>
  </si>
  <si>
    <t>l</t>
  </si>
  <si>
    <t>80U</t>
  </si>
  <si>
    <t>m</t>
  </si>
  <si>
    <t>Deductions (Total of a to l)</t>
  </si>
  <si>
    <t>4m</t>
  </si>
  <si>
    <t xml:space="preserve">Total Income (3-4m) </t>
  </si>
  <si>
    <r>
      <t xml:space="preserve">Net Agricultural Income </t>
    </r>
    <r>
      <rPr>
        <i/>
        <sz val="8"/>
        <rFont val="Times New Roman"/>
        <family val="1"/>
      </rPr>
      <t>(Enter only if greater than Rs 5,000)</t>
    </r>
  </si>
  <si>
    <t>‘Aggregate Income’ (5+6)</t>
  </si>
  <si>
    <t>TAX COMPUTATION</t>
  </si>
  <si>
    <t>Tax Payable on ‘Aggregate Income’</t>
  </si>
  <si>
    <t>8a</t>
  </si>
  <si>
    <t>Rebate in respect of Net Agricultural income</t>
  </si>
  <si>
    <t>8b</t>
  </si>
  <si>
    <t>Tax Payable on Total Income( 8a-8b)</t>
  </si>
  <si>
    <t>9a</t>
  </si>
  <si>
    <t xml:space="preserve">Surcharge on 9a </t>
  </si>
  <si>
    <t>9b</t>
  </si>
  <si>
    <t>Education cess, including secondary and higher education cess on (9a+9b)</t>
  </si>
  <si>
    <t>9c</t>
  </si>
  <si>
    <t>Total Tax, Surcharge and Education Cess Payable (9a+9b+9c)</t>
  </si>
  <si>
    <t>9d</t>
  </si>
  <si>
    <t>Relief under Section 89</t>
  </si>
  <si>
    <t>Relief under Section 90/91</t>
  </si>
  <si>
    <t>Balance Tax Payable (9d-10-11)</t>
  </si>
  <si>
    <t>Do not write or stamp in this area (Space for bar code)</t>
  </si>
  <si>
    <t>Interest Payable U/s 234A</t>
  </si>
  <si>
    <t>13a</t>
  </si>
  <si>
    <t>Interest Payable U/s 234B</t>
  </si>
  <si>
    <t>13b</t>
  </si>
  <si>
    <t>Interest Payable U/s 234C</t>
  </si>
  <si>
    <t>13c</t>
  </si>
  <si>
    <t>Total Interest Payable (13a+13b+13c)</t>
  </si>
  <si>
    <t>13d</t>
  </si>
  <si>
    <t>Total Tax and Interest Payable (12+13d)</t>
  </si>
  <si>
    <t>For Office Use Only</t>
  </si>
  <si>
    <r>
      <t xml:space="preserve">Status </t>
    </r>
    <r>
      <rPr>
        <i/>
        <sz val="9"/>
        <rFont val="Times New Roman"/>
        <family val="1"/>
      </rPr>
      <t>(fill the code)</t>
    </r>
  </si>
  <si>
    <r>
      <t xml:space="preserve">Date of Birth </t>
    </r>
    <r>
      <rPr>
        <i/>
        <sz val="8"/>
        <rFont val="Times New Roman"/>
        <family val="1"/>
      </rPr>
      <t>(DD/MM/YYYY)</t>
    </r>
  </si>
  <si>
    <r>
      <t xml:space="preserve">Employer Category </t>
    </r>
    <r>
      <rPr>
        <i/>
        <sz val="8"/>
        <rFont val="Times New Roman"/>
        <family val="1"/>
      </rPr>
      <t>(Tick)</t>
    </r>
    <r>
      <rPr>
        <sz val="9"/>
        <rFont val="Wingdings"/>
        <charset val="2"/>
      </rPr>
      <t>þ</t>
    </r>
  </si>
  <si>
    <r>
      <t xml:space="preserve">Sex </t>
    </r>
    <r>
      <rPr>
        <i/>
        <sz val="8"/>
        <rFont val="Times New Roman"/>
        <family val="1"/>
      </rPr>
      <t>(Tick)</t>
    </r>
    <r>
      <rPr>
        <sz val="9"/>
        <rFont val="Times New Roman"/>
        <family val="1"/>
      </rPr>
      <t xml:space="preserve"> </t>
    </r>
    <r>
      <rPr>
        <sz val="9"/>
        <rFont val="Wingdings"/>
        <charset val="2"/>
      </rPr>
      <t>þ</t>
    </r>
    <r>
      <rPr>
        <sz val="9"/>
        <rFont val="Times New Roman"/>
        <family val="1"/>
      </rPr>
      <t xml:space="preserve"> </t>
    </r>
  </si>
  <si>
    <r>
      <t xml:space="preserve">Designation of Assessing Officer </t>
    </r>
    <r>
      <rPr>
        <i/>
        <sz val="8"/>
        <rFont val="Times New Roman"/>
        <family val="1"/>
      </rPr>
      <t>(Ward/Circle)</t>
    </r>
  </si>
  <si>
    <r>
      <t>If revised, enter Receipt No and Date of filing original return</t>
    </r>
    <r>
      <rPr>
        <i/>
        <sz val="8"/>
        <rFont val="Times New Roman"/>
        <family val="1"/>
      </rPr>
      <t xml:space="preserve"> (DD/MM/YYYY)</t>
    </r>
  </si>
  <si>
    <t>Assessment Year</t>
  </si>
  <si>
    <t>Name of Premises/Building/Village</t>
  </si>
  <si>
    <r>
      <t xml:space="preserve">Return filed under Section - 
    </t>
    </r>
    <r>
      <rPr>
        <i/>
        <sz val="8"/>
        <rFont val="Times New Roman"/>
        <family val="1"/>
      </rPr>
      <t>Please see instruction number-9(1)</t>
    </r>
  </si>
  <si>
    <t>FORM</t>
  </si>
  <si>
    <t>ITR-1</t>
  </si>
  <si>
    <t>TAXES PAID</t>
  </si>
  <si>
    <r>
      <t xml:space="preserve">Advance Tax </t>
    </r>
    <r>
      <rPr>
        <i/>
        <sz val="9"/>
        <rFont val="Times New Roman"/>
        <family val="1"/>
      </rPr>
      <t>(from item 23)</t>
    </r>
  </si>
  <si>
    <t>15a</t>
  </si>
  <si>
    <r>
      <t xml:space="preserve">TDS </t>
    </r>
    <r>
      <rPr>
        <i/>
        <sz val="9"/>
        <rFont val="Times New Roman"/>
        <family val="1"/>
      </rPr>
      <t>(column 7 of item 21 +column 7 of item 22)</t>
    </r>
  </si>
  <si>
    <r>
      <t xml:space="preserve">Self Assessment Tax </t>
    </r>
    <r>
      <rPr>
        <i/>
        <sz val="9"/>
        <rFont val="Times New Roman"/>
        <family val="1"/>
      </rPr>
      <t>(from item 23)</t>
    </r>
  </si>
  <si>
    <t>Total Taxes Paid (15a+15b+15c)</t>
  </si>
  <si>
    <t>15d</t>
  </si>
  <si>
    <r>
      <t xml:space="preserve">Tax Payable (14-15d) </t>
    </r>
    <r>
      <rPr>
        <i/>
        <sz val="8"/>
        <rFont val="Times New Roman"/>
        <family val="1"/>
      </rPr>
      <t>(Enter if 14 is greater than 15d, else leave blank)</t>
    </r>
  </si>
  <si>
    <t>REFUND</t>
  </si>
  <si>
    <r>
      <t xml:space="preserve">Refund (15d-14) </t>
    </r>
    <r>
      <rPr>
        <i/>
        <sz val="8"/>
        <rFont val="Times New Roman"/>
        <family val="1"/>
      </rPr>
      <t>(enter if 15d is greater than 14, also give Bank Account details below)</t>
    </r>
  </si>
  <si>
    <t>Give additional details of your bank account</t>
  </si>
  <si>
    <t xml:space="preserve">MICR Code </t>
  </si>
  <si>
    <t>Details of Tax Deducted at Source from Salary [As per Form 16 issued by Employer(s)]</t>
  </si>
  <si>
    <t>TDS ON SALARY</t>
  </si>
  <si>
    <t>Sl No</t>
  </si>
  <si>
    <t>Tax Deduction Account Number (TAN) of the Employer</t>
  </si>
  <si>
    <t>Unique Transaction Number (UTN)</t>
  </si>
  <si>
    <t>Name and address of the Employer</t>
  </si>
  <si>
    <t>Income chargeable under the head Salaries</t>
  </si>
  <si>
    <t>Deduction under Chapter VI-A</t>
  </si>
  <si>
    <t xml:space="preserve">Tax payable (incl. surch. and edn. cess) </t>
  </si>
  <si>
    <t>Total tax deducted</t>
  </si>
  <si>
    <t>Details of Tax Deducted at Source on Interest [As per Form 16 A issued by Deductor(s)]</t>
  </si>
  <si>
    <t>TDS ON INTEREST</t>
  </si>
  <si>
    <t>Tax Deduction Account Number (TAN) of the Deductor</t>
  </si>
  <si>
    <t>Name and address of the Deductor</t>
  </si>
  <si>
    <t>Amount paid/ credited</t>
  </si>
  <si>
    <t>Date of Payment / Credit</t>
  </si>
  <si>
    <t>Amount out of (6) claimed for this year</t>
  </si>
  <si>
    <r>
      <t>NOTE</t>
    </r>
    <r>
      <rPr>
        <b/>
        <sz val="8"/>
        <color indexed="9"/>
        <rFont val="Times New Roman"/>
        <family val="1"/>
      </rPr>
      <t xml:space="preserve"> ►</t>
    </r>
  </si>
  <si>
    <t xml:space="preserve">Enter the total of column (7) of 21 and  column (7)  of 22 in Sl No. 15b of TAXES PAID </t>
  </si>
  <si>
    <t>Details of Advance Tax and Self Assessment Tax Payments</t>
  </si>
  <si>
    <t>TAX PAYMENTS</t>
  </si>
  <si>
    <t>Name of Bank &amp; Branch</t>
  </si>
  <si>
    <t xml:space="preserve">BSR Code </t>
  </si>
  <si>
    <r>
      <t xml:space="preserve">Date of Deposit </t>
    </r>
    <r>
      <rPr>
        <b/>
        <i/>
        <sz val="8"/>
        <rFont val="Times New Roman"/>
        <family val="1"/>
      </rPr>
      <t>(DD/MM/YYYY)</t>
    </r>
  </si>
  <si>
    <t>Serial Number of Challan</t>
  </si>
  <si>
    <t>Amount (Rs)</t>
  </si>
  <si>
    <t xml:space="preserve">Enter the totals of Advance tax and Self Assessment tax in Sl No. 15 a and  15c of TAXES PAID </t>
  </si>
  <si>
    <r>
      <t xml:space="preserve">Other Information (transactions reported through Annual Information Return) </t>
    </r>
    <r>
      <rPr>
        <i/>
        <sz val="9"/>
        <rFont val="Times New Roman"/>
        <family val="1"/>
      </rPr>
      <t>(Please see instruction number-9(ii)  for code)</t>
    </r>
  </si>
  <si>
    <t>Sl</t>
  </si>
  <si>
    <t>Code</t>
  </si>
  <si>
    <r>
      <t xml:space="preserve">Tax-exempt interest income </t>
    </r>
    <r>
      <rPr>
        <i/>
        <sz val="8"/>
        <rFont val="Times New Roman"/>
        <family val="1"/>
      </rPr>
      <t>(for reporting purposes only)</t>
    </r>
  </si>
  <si>
    <t>Place</t>
  </si>
  <si>
    <t xml:space="preserve">Date </t>
  </si>
  <si>
    <r>
      <t xml:space="preserve">Sign here </t>
    </r>
    <r>
      <rPr>
        <b/>
        <sz val="9"/>
        <rFont val="Wingdings"/>
        <charset val="2"/>
      </rPr>
      <t>è</t>
    </r>
  </si>
  <si>
    <t>If the return has been prepared by a Tax Return Preparer (TRP) give further details as below:</t>
  </si>
  <si>
    <t xml:space="preserve">Identification No. of TRP </t>
  </si>
  <si>
    <t>Name of TRP</t>
  </si>
  <si>
    <t xml:space="preserve"> Counter Signature of TRP</t>
  </si>
  <si>
    <r>
      <t>If TRP is entitled for any reimbursement from the Government, amount thereof (</t>
    </r>
    <r>
      <rPr>
        <i/>
        <sz val="9"/>
        <rFont val="Times New Roman"/>
        <family val="1"/>
      </rPr>
      <t>to be filled by TRP)</t>
    </r>
  </si>
  <si>
    <r>
      <t>INDIAN INCOME TAX RETURN</t>
    </r>
    <r>
      <rPr>
        <b/>
        <sz val="14"/>
        <rFont val="Times New Roman"/>
        <family val="1"/>
      </rPr>
      <t xml:space="preserve">
</t>
    </r>
    <r>
      <rPr>
        <sz val="10"/>
        <rFont val="Times New Roman"/>
        <family val="1"/>
      </rPr>
      <t>[For Individuals having Income from Salary/ Pension/ family pension and Interest]</t>
    </r>
    <r>
      <rPr>
        <b/>
        <sz val="14"/>
        <rFont val="Times New Roman"/>
        <family val="1"/>
      </rPr>
      <t xml:space="preserve">
</t>
    </r>
    <r>
      <rPr>
        <sz val="8"/>
        <rFont val="Times New Roman"/>
        <family val="1"/>
      </rPr>
      <t>(Please see rule 12 of the Income-tax Rules,1962)
(Also see attached instructions)</t>
    </r>
  </si>
  <si>
    <r>
      <t xml:space="preserve">Enter your bank account number </t>
    </r>
    <r>
      <rPr>
        <i/>
        <sz val="8"/>
        <rFont val="Times New Roman"/>
        <family val="1"/>
      </rPr>
      <t xml:space="preserve">(mandatory in case of refund) </t>
    </r>
  </si>
  <si>
    <r>
      <t xml:space="preserve">Do you want your refund by  </t>
    </r>
    <r>
      <rPr>
        <sz val="12"/>
        <rFont val="Wingdings"/>
        <charset val="2"/>
      </rPr>
      <t>o</t>
    </r>
    <r>
      <rPr>
        <sz val="12"/>
        <rFont val="Times New Roman"/>
        <family val="1"/>
      </rPr>
      <t xml:space="preserve"> </t>
    </r>
    <r>
      <rPr>
        <sz val="9"/>
        <rFont val="Times New Roman"/>
        <family val="1"/>
      </rPr>
      <t xml:space="preserve">cheque, or  </t>
    </r>
    <r>
      <rPr>
        <sz val="12"/>
        <rFont val="Wingdings"/>
        <charset val="2"/>
      </rPr>
      <t>o</t>
    </r>
    <r>
      <rPr>
        <sz val="12"/>
        <rFont val="Times New Roman"/>
        <family val="1"/>
      </rPr>
      <t xml:space="preserve"> </t>
    </r>
    <r>
      <rPr>
        <sz val="9"/>
        <rFont val="Times New Roman"/>
        <family val="1"/>
      </rPr>
      <t xml:space="preserve">deposited directly into your bank account? </t>
    </r>
    <r>
      <rPr>
        <i/>
        <sz val="8"/>
        <rFont val="Times New Roman"/>
        <family val="1"/>
      </rPr>
      <t xml:space="preserve">(tick as applicable </t>
    </r>
    <r>
      <rPr>
        <i/>
        <sz val="8"/>
        <rFont val="Wingdings"/>
        <charset val="2"/>
      </rPr>
      <t>þ</t>
    </r>
    <r>
      <rPr>
        <i/>
        <sz val="8"/>
        <rFont val="Times New Roman"/>
        <family val="1"/>
      </rPr>
      <t xml:space="preserve"> )</t>
    </r>
  </si>
  <si>
    <r>
      <t xml:space="preserve">Type of Account </t>
    </r>
    <r>
      <rPr>
        <i/>
        <sz val="8"/>
        <rFont val="Times New Roman"/>
        <family val="1"/>
      </rPr>
      <t xml:space="preserve">(tick as applicable </t>
    </r>
    <r>
      <rPr>
        <i/>
        <sz val="8"/>
        <rFont val="Wingdings"/>
        <charset val="2"/>
      </rPr>
      <t>þ</t>
    </r>
    <r>
      <rPr>
        <i/>
        <sz val="8"/>
        <rFont val="Times New Roman"/>
        <family val="1"/>
      </rPr>
      <t xml:space="preserve"> )</t>
    </r>
    <r>
      <rPr>
        <sz val="9"/>
        <rFont val="Times New Roman"/>
        <family val="1"/>
      </rPr>
      <t xml:space="preserve">  </t>
    </r>
    <r>
      <rPr>
        <sz val="12"/>
        <rFont val="Wingdings"/>
        <charset val="2"/>
      </rPr>
      <t>o</t>
    </r>
    <r>
      <rPr>
        <sz val="16"/>
        <rFont val="Times New Roman"/>
        <family val="1"/>
      </rPr>
      <t xml:space="preserve"> </t>
    </r>
    <r>
      <rPr>
        <sz val="9"/>
        <rFont val="Times New Roman"/>
        <family val="1"/>
      </rPr>
      <t xml:space="preserve">Savings      </t>
    </r>
    <r>
      <rPr>
        <sz val="12"/>
        <rFont val="Wingdings"/>
        <charset val="2"/>
      </rPr>
      <t>o</t>
    </r>
    <r>
      <rPr>
        <sz val="16"/>
        <rFont val="Times New Roman"/>
        <family val="1"/>
      </rPr>
      <t xml:space="preserve"> </t>
    </r>
    <r>
      <rPr>
        <sz val="9"/>
        <rFont val="Times New Roman"/>
        <family val="1"/>
      </rPr>
      <t>Current</t>
    </r>
  </si>
  <si>
    <t>Tax payable/ refundable</t>
  </si>
  <si>
    <t>VERIFICATION</t>
  </si>
  <si>
    <t xml:space="preserve">Tax Payable (13 – 14c) </t>
  </si>
  <si>
    <t>EAST GODAVARI</t>
  </si>
  <si>
    <t>Relief  U/S 89</t>
  </si>
  <si>
    <t>Tax Limit</t>
  </si>
  <si>
    <t xml:space="preserve">                            </t>
  </si>
  <si>
    <t>TDS U/s 192(1)</t>
  </si>
  <si>
    <t xml:space="preserve">           /           /</t>
  </si>
  <si>
    <t>Father Name</t>
  </si>
  <si>
    <t>ix)</t>
  </si>
  <si>
    <t>PERSONAL DETAILS</t>
  </si>
  <si>
    <t>TAN Number</t>
  </si>
  <si>
    <t>DD</t>
  </si>
  <si>
    <t>MM</t>
  </si>
  <si>
    <t>January</t>
  </si>
  <si>
    <t>February</t>
  </si>
  <si>
    <t>April</t>
  </si>
  <si>
    <t>May</t>
  </si>
  <si>
    <t>June</t>
  </si>
  <si>
    <t>July</t>
  </si>
  <si>
    <t>August</t>
  </si>
  <si>
    <t>September</t>
  </si>
  <si>
    <t>October</t>
  </si>
  <si>
    <t>November</t>
  </si>
  <si>
    <t>December</t>
  </si>
  <si>
    <t>Pays</t>
  </si>
  <si>
    <t>SL</t>
  </si>
  <si>
    <t>1 Month</t>
  </si>
  <si>
    <t>Opt</t>
  </si>
  <si>
    <t>1 Inc</t>
  </si>
  <si>
    <t>2 Inc</t>
  </si>
  <si>
    <t>3 Inc</t>
  </si>
  <si>
    <t>Year</t>
  </si>
  <si>
    <t>Hyderabad</t>
  </si>
  <si>
    <t>Vijayawada</t>
  </si>
  <si>
    <t>Others</t>
  </si>
  <si>
    <t>Z.P.P.F.</t>
  </si>
  <si>
    <t>C.P.S.</t>
  </si>
  <si>
    <t>Certificate for tax deducted at source from income chargeable under the head "Salaries" - cum - Return of income</t>
  </si>
  <si>
    <t>PAID TAX DETAILS</t>
  </si>
  <si>
    <t>Pro Option</t>
  </si>
  <si>
    <t>Senior Citizen</t>
  </si>
  <si>
    <t>[See third provison to rule 12(1)(b) and rule 31(1) (a) ]</t>
  </si>
  <si>
    <t>Public Provident Fund</t>
  </si>
  <si>
    <t>Employees Provident Fund &amp; Voluntary PF</t>
  </si>
  <si>
    <t>Children's Education Tuition Fees</t>
  </si>
  <si>
    <t>Housing loan principal repayment</t>
  </si>
  <si>
    <t>Long-term Infrastructure Bonds</t>
  </si>
  <si>
    <t>Medical Insurance Premium</t>
  </si>
  <si>
    <t>Higher Education Loan Interest Repayment</t>
  </si>
  <si>
    <t>Deduction for permanent disability</t>
  </si>
  <si>
    <t>Yes</t>
  </si>
  <si>
    <t>SALARY DETAILS</t>
  </si>
  <si>
    <t>Loss on self occupied house property, interest on housing loan where the house is self occupied and H.R.A. exemption is not claimed</t>
  </si>
  <si>
    <t>OTHER INCOMES</t>
  </si>
  <si>
    <t>OFFICE DETAILS</t>
  </si>
  <si>
    <t>Any other income</t>
  </si>
  <si>
    <t>xv</t>
  </si>
  <si>
    <t>xvi</t>
  </si>
  <si>
    <t>Interest on housing loan</t>
  </si>
  <si>
    <t>(A) Sections 80 C, 80 CCC &amp; 80 CCD</t>
  </si>
  <si>
    <t>Section 80 C</t>
  </si>
  <si>
    <t>Contributions to Pension Funds</t>
  </si>
  <si>
    <t>Contribution to political parties</t>
  </si>
  <si>
    <t>Donations to approved funds and charities</t>
  </si>
  <si>
    <t>80 CCC</t>
  </si>
  <si>
    <t>80 CCD</t>
  </si>
  <si>
    <t>80 D</t>
  </si>
  <si>
    <t>80 DD</t>
  </si>
  <si>
    <t>80 DDB</t>
  </si>
  <si>
    <t>80 E</t>
  </si>
  <si>
    <t>80 G</t>
  </si>
  <si>
    <t>80 GG</t>
  </si>
  <si>
    <t>80 GGA</t>
  </si>
  <si>
    <t>80 GGC</t>
  </si>
  <si>
    <t>80 U</t>
  </si>
  <si>
    <t>80 C</t>
  </si>
  <si>
    <t>80 CCF</t>
  </si>
  <si>
    <t>National Savings Certificates</t>
  </si>
  <si>
    <t>(f) Section</t>
  </si>
  <si>
    <t>(g)</t>
  </si>
  <si>
    <t>Any other Savings</t>
  </si>
  <si>
    <t>Education cess (on tax at S.No.12 and surcharge at S.No.13)</t>
  </si>
  <si>
    <t>Name of the Bank and Branch 
where tax deposited with 
BSR Code Number</t>
  </si>
  <si>
    <t>Sr. Leave</t>
  </si>
  <si>
    <t>Days</t>
  </si>
  <si>
    <t>Whether living in own house or rented house. If rented house, actual rent paid per annum. ( A declaration regarding payment of house rent shall be enclosed )</t>
  </si>
  <si>
    <t>Aggregate of Savings under section 80 C, 80 CCC, 80 CCD &amp; 80 CCF</t>
  </si>
  <si>
    <t>Financial  Year</t>
  </si>
  <si>
    <t>Income from all sources</t>
  </si>
  <si>
    <t>Net taxable Income</t>
  </si>
  <si>
    <t>Income tax to be paid</t>
  </si>
  <si>
    <t>Assessment year</t>
  </si>
  <si>
    <t>YOB</t>
  </si>
  <si>
    <t>o</t>
  </si>
  <si>
    <t>Govt</t>
  </si>
  <si>
    <t>PSU</t>
  </si>
  <si>
    <t>Original</t>
  </si>
  <si>
    <t>Revised</t>
  </si>
  <si>
    <r>
      <t xml:space="preserve">Whether original or Revised return?  </t>
    </r>
    <r>
      <rPr>
        <i/>
        <sz val="8"/>
        <rFont val="Times New Roman"/>
        <family val="1"/>
      </rPr>
      <t>(Tick)</t>
    </r>
    <r>
      <rPr>
        <sz val="9"/>
        <rFont val="Times New Roman"/>
        <family val="1"/>
      </rPr>
      <t xml:space="preserve"> </t>
    </r>
    <r>
      <rPr>
        <sz val="9"/>
        <rFont val="Wingdings"/>
        <charset val="2"/>
      </rPr>
      <t>þ</t>
    </r>
    <r>
      <rPr>
        <sz val="9"/>
        <rFont val="Times New Roman"/>
        <family val="1"/>
      </rPr>
      <t/>
    </r>
  </si>
  <si>
    <t>Resident but Not Ordinarily Resident</t>
  </si>
  <si>
    <t>Non-Resident</t>
  </si>
  <si>
    <t>Resident</t>
  </si>
  <si>
    <r>
      <t xml:space="preserve">Residential Status   </t>
    </r>
    <r>
      <rPr>
        <i/>
        <sz val="8"/>
        <rFont val="Times New Roman"/>
        <family val="1"/>
      </rPr>
      <t>(Tick)</t>
    </r>
    <r>
      <rPr>
        <sz val="9"/>
        <rFont val="Times New Roman"/>
        <family val="1"/>
      </rPr>
      <t xml:space="preserve"> </t>
    </r>
    <r>
      <rPr>
        <sz val="9"/>
        <rFont val="Wingdings"/>
        <charset val="2"/>
      </rPr>
      <t>þ</t>
    </r>
    <r>
      <rPr>
        <sz val="9"/>
        <rFont val="Times New Roman"/>
        <family val="1"/>
      </rPr>
      <t/>
    </r>
  </si>
  <si>
    <t>þ</t>
  </si>
  <si>
    <t>ABSTRACT</t>
  </si>
  <si>
    <t>Medical expenses for specified diseases</t>
  </si>
  <si>
    <t>(STD code)-Phone Number      (</t>
  </si>
  <si>
    <t>) -</t>
  </si>
  <si>
    <t>Tax already paid</t>
  </si>
  <si>
    <t>D.A. Rates</t>
  </si>
  <si>
    <t>H.R.A. &amp; C.C.A.</t>
  </si>
  <si>
    <t>HRA Limit</t>
  </si>
  <si>
    <t>srinivas nainala @ 944 123 9875</t>
  </si>
  <si>
    <t>M Hari Prasad</t>
  </si>
  <si>
    <t>Naga Bhushanam</t>
  </si>
  <si>
    <t>VPNZ01084G</t>
  </si>
  <si>
    <t>Z.P.P.High School</t>
  </si>
  <si>
    <t>Isukapudi</t>
  </si>
  <si>
    <t>Ambajipeta mandal</t>
  </si>
  <si>
    <t>6700-20110</t>
  </si>
  <si>
    <t>6900-20680</t>
  </si>
  <si>
    <t>7100-21250</t>
  </si>
  <si>
    <t>7520-22430</t>
  </si>
  <si>
    <t>7740-23040</t>
  </si>
  <si>
    <t>7960-23650</t>
  </si>
  <si>
    <t>8440-24950</t>
  </si>
  <si>
    <t>9200-27000</t>
  </si>
  <si>
    <t>9460-27700</t>
  </si>
  <si>
    <t>10020-29200</t>
  </si>
  <si>
    <t>10900-31550</t>
  </si>
  <si>
    <t>11530-33200</t>
  </si>
  <si>
    <t>11860-34050</t>
  </si>
  <si>
    <t>12550-35800</t>
  </si>
  <si>
    <t>12910-36700</t>
  </si>
  <si>
    <t>13660-38570</t>
  </si>
  <si>
    <t>14860-39540</t>
  </si>
  <si>
    <t>15280-40510</t>
  </si>
  <si>
    <t>16150-42590</t>
  </si>
  <si>
    <t>18030-43630</t>
  </si>
  <si>
    <t>19050-45850</t>
  </si>
  <si>
    <t>20680-46960</t>
  </si>
  <si>
    <t>21820-48160</t>
  </si>
  <si>
    <t>23650-49380</t>
  </si>
  <si>
    <t>25600-50560</t>
  </si>
  <si>
    <t>27000-51760</t>
  </si>
  <si>
    <t>29200-53060</t>
  </si>
  <si>
    <t>31550-53060</t>
  </si>
  <si>
    <t>34050-54360</t>
  </si>
  <si>
    <t>37600-54360</t>
  </si>
  <si>
    <t>41550-55660</t>
  </si>
  <si>
    <t>44740-55600</t>
  </si>
  <si>
    <t>Scale of Pay</t>
  </si>
  <si>
    <t>AFXPM7085H</t>
  </si>
  <si>
    <t>N V V Swamy Naidu</t>
  </si>
  <si>
    <t>S.A.(Math's)</t>
  </si>
  <si>
    <t>ACPPN5016Q</t>
  </si>
  <si>
    <t>Any promotion ?</t>
  </si>
  <si>
    <t>Pro Arrear</t>
  </si>
  <si>
    <t>AAS</t>
  </si>
  <si>
    <t>Change Dates</t>
  </si>
  <si>
    <t>ZPPF</t>
  </si>
  <si>
    <t>Interest on N.S.C.'s</t>
  </si>
  <si>
    <t>AAS Arrear</t>
  </si>
  <si>
    <t>Nainala Srinivas</t>
  </si>
  <si>
    <t>Interest on Bank deposits</t>
  </si>
  <si>
    <t>S.C.A.</t>
  </si>
  <si>
    <t>Non Mandal</t>
  </si>
  <si>
    <t>Mandal HQ</t>
  </si>
  <si>
    <t>Hills/Hill Top</t>
  </si>
  <si>
    <t>AHRA</t>
  </si>
  <si>
    <t>SCA</t>
  </si>
  <si>
    <t>U/s 17(2)</t>
  </si>
  <si>
    <t>Place of working</t>
  </si>
  <si>
    <t>Employee Name</t>
  </si>
  <si>
    <t>PAN No. &amp; D.O.B.</t>
  </si>
  <si>
    <t>Desig. &amp; Sex</t>
  </si>
  <si>
    <t>RENT RECEIPT</t>
  </si>
  <si>
    <t>Signature of the House Owner</t>
  </si>
  <si>
    <t>Date:</t>
  </si>
  <si>
    <t>10% of basic salary per annum</t>
  </si>
  <si>
    <t>Start</t>
  </si>
  <si>
    <t>http://is.gd/akshaya</t>
  </si>
  <si>
    <t>DEDUCTIONS</t>
  </si>
  <si>
    <t>Income on House property</t>
  </si>
  <si>
    <t>Scale &amp; Option</t>
  </si>
  <si>
    <t>Actual Rent paid</t>
  </si>
  <si>
    <t>Income Tax</t>
  </si>
  <si>
    <t>Other exemptions under Sec 10 (10) (gratuity, etc.)</t>
  </si>
  <si>
    <t>10 &amp; 17</t>
  </si>
  <si>
    <t>Insurance premium &amp; others (MF, ULIP, FD, etc.)</t>
  </si>
  <si>
    <t>Pension scheme</t>
  </si>
  <si>
    <t>Gross Total Income</t>
  </si>
  <si>
    <t>T A X   R U L E S   &amp;   O T H E R   U S E F U L   I N F O R M A T I O N</t>
  </si>
  <si>
    <t>Transport allowance is exempt upto Rs.800/- per month provided the person is in India during the month. For people having permanent physical disability, the exemption is Rs.1,600/- per month</t>
  </si>
  <si>
    <t>Medical bills are exempt for self and dependent family, upto Rs.15,000/- per annum</t>
  </si>
  <si>
    <t>LTA is exempt to the tune of ecomony class airfare for the family to any destination in India, by the shortest route.
LTA can be claimed twice in a block of 4 calendar years. The current block is from Jan 2010 to Dec 2013</t>
  </si>
  <si>
    <t>Uniform allowance is exempt to the extent of bills produced for purchase of uniforms</t>
  </si>
  <si>
    <t>Gratuity, VRS and some such amounts are exempt upto certain limits. If you get any such payment, please find out the exact limit for you from a tax consultant and enter in cell N53</t>
  </si>
  <si>
    <t>Children's Education allowance is exempt upto Rs.100/- per child per month plus Rs.300/- per child per month for hostel expenses (max of 2 children only)</t>
  </si>
  <si>
    <t>There is an exemption for interest on housing loan. If the loan was taken before Apr 1, 1999 exemption is limited to Rs.30,000/- per year. If the loan was taken after Apr 1, 1999 exemption is limited to Rs.1,50,000/- per year if the house is self-occupied; there is no limit if the house is rented out.
This exemption is available on accrual basis, which means if interest has accrued, you can claim exemption, irrespective of whether you've paid it or not. If the loan is taken jointly by two individuals both can claim this exemption</t>
  </si>
  <si>
    <t>If you have rented out your house, enter the total rent income/loss from the house (after deducting property tax and 30% of rent as standard maintenance expenses) in cell N60</t>
  </si>
  <si>
    <t>Medical Insurance (such as Mediclaim) premium is exempt upto Rs.15,000/- per year for self, spouse &amp; dependent children. An additional Rs.15,000/- is exempt towards premium for parents (even if they are not dependent). If the parent(s) are above 65 years of age, an extra Rs.5,000/- can be claimed</t>
  </si>
  <si>
    <t>Deduction in respect of medical treatment of handicapped dependents is limited to Rs.50,000/- per year if the disability is less than 80% and Rs.1,00,000/- per year if the disability is more than 80%</t>
  </si>
  <si>
    <t>Deduction in respect of medical treatment for specified ailments or diseases for the assesse or dependent can be claimed upto Rs.40,000/- per year. If the person being treated is a senior citizen, the exemption can go up to Rs.60,000/-</t>
  </si>
  <si>
    <t>Interest repayment on education loan (taken for higher education from a university for self, spouse &amp; children) is tax exempt from the 1st year of repayment up to a maximum of 8 years. There is no exemption for Principal payment</t>
  </si>
  <si>
    <t>Donations given for certain charities are tax exempt. Some are exempt to the tune of 50%, whereas others are 100%. Please enter the actual amount exempt, in cell N69</t>
  </si>
  <si>
    <t>If you have a permanent physical disability (including blindness), you can take an exemption of up to Rs.75,000/- per year</t>
  </si>
  <si>
    <t>For the current year, Govt. prescribed rate of interest for PF is 8.5%. If the employer pays interest higher than this, the differential interest earned is treated as perquisites</t>
  </si>
  <si>
    <t>Dates</t>
  </si>
  <si>
    <t>Rents deduction (if HRA not received)</t>
  </si>
  <si>
    <t>from</t>
  </si>
  <si>
    <t>Exemptions (PT+Sec.10&amp;17)</t>
  </si>
  <si>
    <t>Deductions (80C &amp; VI A)</t>
  </si>
  <si>
    <t>Area</t>
  </si>
  <si>
    <t>HRA &amp; CCA</t>
  </si>
  <si>
    <t>S.L.</t>
  </si>
  <si>
    <t>Surrender Leave</t>
  </si>
  <si>
    <t>H.No.3-4-34/5</t>
  </si>
  <si>
    <t>Amalapuram</t>
  </si>
  <si>
    <t>Bank Colony, K.Agraharam</t>
  </si>
  <si>
    <r>
      <t>If anything changed select '</t>
    </r>
    <r>
      <rPr>
        <b/>
        <sz val="9"/>
        <color theme="6" tint="-0.499984740745262"/>
        <rFont val="Calibri"/>
        <family val="2"/>
      </rPr>
      <t>Yes'</t>
    </r>
    <r>
      <rPr>
        <sz val="9"/>
        <color theme="6" tint="-0.499984740745262"/>
        <rFont val="Calibri"/>
        <family val="2"/>
      </rPr>
      <t xml:space="preserve"> instead of '</t>
    </r>
    <r>
      <rPr>
        <b/>
        <sz val="9"/>
        <color theme="6" tint="-0.499984740745262"/>
        <rFont val="Calibri"/>
        <family val="2"/>
      </rPr>
      <t>No'</t>
    </r>
  </si>
  <si>
    <t>If the above is '&gt; 80 %' enter here</t>
  </si>
  <si>
    <t>If the above includes 'Senior Citizens' enter here</t>
  </si>
  <si>
    <t>If the above is for parents enter here</t>
  </si>
  <si>
    <t>Donations to Sci.Research or Rural development</t>
  </si>
  <si>
    <t>Office</t>
  </si>
  <si>
    <t>DOP</t>
  </si>
  <si>
    <t>DoPO</t>
  </si>
  <si>
    <t>DoNI</t>
  </si>
  <si>
    <t>DoAAS</t>
  </si>
  <si>
    <t>Contributions to Pension Scheme of Cen.Govt</t>
  </si>
  <si>
    <t>U.L.I.P.</t>
  </si>
  <si>
    <t>S.B.I. Life Insurance</t>
  </si>
  <si>
    <t>ICICI Savings Bonds</t>
  </si>
  <si>
    <t>IDBI Flexi Bonds</t>
  </si>
  <si>
    <t>P.L.I.</t>
  </si>
  <si>
    <t>Any other deduction specified by IT Dept</t>
  </si>
  <si>
    <t xml:space="preserve">L.I.C. </t>
  </si>
  <si>
    <r>
      <t xml:space="preserve">HRA exemption = minimum of (40% </t>
    </r>
    <r>
      <rPr>
        <sz val="10"/>
        <color indexed="55"/>
        <rFont val="Calibri"/>
        <family val="2"/>
        <scheme val="minor"/>
      </rPr>
      <t>(50% for metros)</t>
    </r>
    <r>
      <rPr>
        <sz val="10"/>
        <rFont val="Calibri"/>
        <family val="2"/>
        <scheme val="minor"/>
      </rPr>
      <t xml:space="preserve"> of Basic+DA </t>
    </r>
    <r>
      <rPr>
        <sz val="10"/>
        <color indexed="12"/>
        <rFont val="Calibri"/>
        <family val="2"/>
        <scheme val="minor"/>
      </rPr>
      <t>or</t>
    </r>
    <r>
      <rPr>
        <sz val="10"/>
        <rFont val="Calibri"/>
        <family val="2"/>
        <scheme val="minor"/>
      </rPr>
      <t xml:space="preserve"> HRA </t>
    </r>
    <r>
      <rPr>
        <sz val="10"/>
        <color indexed="12"/>
        <rFont val="Calibri"/>
        <family val="2"/>
        <scheme val="minor"/>
      </rPr>
      <t>or</t>
    </r>
    <r>
      <rPr>
        <sz val="10"/>
        <rFont val="Calibri"/>
        <family val="2"/>
        <scheme val="minor"/>
      </rPr>
      <t xml:space="preserve"> rent paid - 10% of Basic+DA)</t>
    </r>
  </si>
  <si>
    <r>
      <t xml:space="preserve">If you do not get HRA, but have rented a house, an exemption is available. This will be calculated as minimum of (25% of total income </t>
    </r>
    <r>
      <rPr>
        <sz val="10"/>
        <color indexed="12"/>
        <rFont val="Calibri"/>
        <family val="2"/>
        <scheme val="minor"/>
      </rPr>
      <t>or</t>
    </r>
    <r>
      <rPr>
        <sz val="10"/>
        <rFont val="Calibri"/>
        <family val="2"/>
        <scheme val="minor"/>
      </rPr>
      <t xml:space="preserve"> rent paid - 10% of total income </t>
    </r>
    <r>
      <rPr>
        <sz val="10"/>
        <color indexed="12"/>
        <rFont val="Calibri"/>
        <family val="2"/>
        <scheme val="minor"/>
      </rPr>
      <t>or</t>
    </r>
    <r>
      <rPr>
        <sz val="10"/>
        <rFont val="Calibri"/>
        <family val="2"/>
        <scheme val="minor"/>
      </rPr>
      <t xml:space="preserve"> Rs.24,000/- per year)</t>
    </r>
  </si>
  <si>
    <t>PLEASE READ THE INSTRUCTIONS CAREFULLY BEFORE GOING THROUGH THE PACKAGE</t>
  </si>
  <si>
    <t>Table-1 &amp; Table-2 are for Plain area &amp; Agency areas respectively.</t>
  </si>
  <si>
    <t>Paid tax details, challan no's in Form.16 &amp; details in ITR-1 can be entered manually.</t>
  </si>
  <si>
    <t>HRA Change</t>
  </si>
  <si>
    <t>Cash</t>
  </si>
  <si>
    <t>PF</t>
  </si>
  <si>
    <t>This package is useful for State Government salaried employees.</t>
  </si>
  <si>
    <t>Details in Table-2 can be edited manually. Table-1 will be generated from Table-2 automatically.</t>
  </si>
  <si>
    <t>HRA Exemption</t>
  </si>
  <si>
    <t>Transport Exemption</t>
  </si>
  <si>
    <t>Medical Bills Exemption</t>
  </si>
  <si>
    <t>Children's Education Allowance Exemption</t>
  </si>
  <si>
    <t>LTA exemption</t>
  </si>
  <si>
    <t>Uniform expenses</t>
  </si>
  <si>
    <t>Gazetted Headmaster</t>
  </si>
  <si>
    <t>If any changes in the above, those will be corrected in future versions.</t>
  </si>
  <si>
    <t>Your suggestions are needed for development of this package to make it useful for more employees.</t>
  </si>
  <si>
    <t xml:space="preserve">To stop the annual increment during this financial year, just delete the value in increment month cell. </t>
  </si>
  <si>
    <t>In deductions box Z.P.P.F. can be changed as G.P.F. or C.P.S.</t>
  </si>
  <si>
    <t>DoNI2</t>
  </si>
  <si>
    <t>If your increment month is January then enter Basic pay of Jan '12 without adding annual increment.</t>
  </si>
  <si>
    <t>From</t>
  </si>
  <si>
    <t>Srinivas Nainala @ 944 123 9875
You can have the latest version at http://is.gd/akshaya</t>
  </si>
  <si>
    <t>AG Inc</t>
  </si>
  <si>
    <t>You are welcome to call me @ 944 123 9875, mail me to akshayatooneera@gmail.com or comment on my Facebook wall.</t>
  </si>
  <si>
    <t>Enter the details in the green coloured cells in the Data sheet for auto generation.</t>
  </si>
  <si>
    <t>If your HRA is less than Rs.3000 pm, then Rent Receipt is not needed as per the Income Tax Act 1961 Provisions of 10(13A).</t>
  </si>
  <si>
    <t xml:space="preserve"> forty </t>
  </si>
  <si>
    <t xml:space="preserve"> forty one</t>
  </si>
  <si>
    <t xml:space="preserve"> forty two</t>
  </si>
  <si>
    <t xml:space="preserve"> forty three</t>
  </si>
  <si>
    <t xml:space="preserve"> forty four</t>
  </si>
  <si>
    <t xml:space="preserve"> forty five</t>
  </si>
  <si>
    <t xml:space="preserve"> forty six</t>
  </si>
  <si>
    <t xml:space="preserve"> forty seven</t>
  </si>
  <si>
    <t xml:space="preserve"> forty eight</t>
  </si>
  <si>
    <t xml:space="preserve"> forty nine</t>
  </si>
  <si>
    <t>Visakhapatnam</t>
  </si>
  <si>
    <t>Up to</t>
  </si>
  <si>
    <t xml:space="preserve"> nineteen</t>
  </si>
  <si>
    <t>Tax paid up to Nov '10</t>
  </si>
  <si>
    <t>Residence</t>
  </si>
  <si>
    <t xml:space="preserve">Medical Expenses of Handicapped dependents </t>
  </si>
  <si>
    <t>Tax</t>
  </si>
  <si>
    <t>Taxable Income</t>
  </si>
  <si>
    <t>kothapalem</t>
  </si>
  <si>
    <t>DDO Office</t>
  </si>
  <si>
    <t>LOSS ON PROPERTY</t>
  </si>
  <si>
    <t>Columns 7 &amp; 9 in Annexure-I and all cells in ITR-I are also editable.</t>
  </si>
  <si>
    <t>Remember, once you edit anything further that cell doesn't generate automatically. So keep a copy of the original file.</t>
  </si>
  <si>
    <t>PP +FP</t>
  </si>
  <si>
    <t>Jan'13 Pay+P.P. &amp; Inc</t>
  </si>
  <si>
    <t>Tax rebate u/s 87 A (if the taxable income is under Rs.5,00,000)</t>
  </si>
  <si>
    <t>Tax rebate under section 87 A (if the taxable income is under Rs.5,00,000)</t>
  </si>
  <si>
    <t>Srinivas Nainala @ http://is.gd/akshaya @ 944 123 9875</t>
  </si>
  <si>
    <t>IR</t>
  </si>
  <si>
    <t>Tax limit is Rs.2,00,000 for both ladies and gents and Rs.2,50,000 for senior citizens.</t>
  </si>
  <si>
    <t>If the total taxable income is less than Rs.5,00,000, the individual can avail a rebate of Rs.2,000 under section 87 A.</t>
  </si>
  <si>
    <t>80 EE</t>
  </si>
</sst>
</file>

<file path=xl/styles.xml><?xml version="1.0" encoding="utf-8"?>
<styleSheet xmlns="http://schemas.openxmlformats.org/spreadsheetml/2006/main">
  <numFmts count="11">
    <numFmt numFmtId="43" formatCode="_(* #,##0.00_);_(* \(#,##0.00\);_(* &quot;-&quot;??_);_(@_)"/>
    <numFmt numFmtId="164" formatCode="_(* #,##0_);_(* \(#,##0\);_(* &quot;-&quot;??_);_(@_)"/>
    <numFmt numFmtId="165" formatCode="mmm/yyyy"/>
    <numFmt numFmtId="166" formatCode="_(* #,##0.0_);_(* \(#,##0.0\);_(* &quot;-&quot;??_);_(@_)"/>
    <numFmt numFmtId="167" formatCode="0;[Red]0"/>
    <numFmt numFmtId="168" formatCode="00"/>
    <numFmt numFmtId="169" formatCode="0_)"/>
    <numFmt numFmtId="170" formatCode="mmm\ \'yy"/>
    <numFmt numFmtId="171" formatCode="_(* #,##0.000_);_(* \(#,##0.000\);_(* &quot;-&quot;??_);_(@_)"/>
    <numFmt numFmtId="172" formatCode="#,##0.0_);\(#,##0.0\)"/>
    <numFmt numFmtId="173" formatCode="mmm"/>
  </numFmts>
  <fonts count="120">
    <font>
      <sz val="10"/>
      <name val="Arial"/>
    </font>
    <font>
      <sz val="10"/>
      <name val="Arial"/>
      <family val="2"/>
    </font>
    <font>
      <sz val="8"/>
      <name val="Arial"/>
      <family val="2"/>
    </font>
    <font>
      <sz val="10"/>
      <name val="Trebuchet MS"/>
      <family val="2"/>
    </font>
    <font>
      <b/>
      <sz val="10"/>
      <name val="Trebuchet MS"/>
      <family val="2"/>
    </font>
    <font>
      <b/>
      <i/>
      <sz val="10"/>
      <name val="Trebuchet MS"/>
      <family val="2"/>
    </font>
    <font>
      <sz val="10"/>
      <name val="Arial"/>
      <family val="2"/>
    </font>
    <font>
      <sz val="10"/>
      <name val="Arial"/>
      <family val="2"/>
    </font>
    <font>
      <sz val="10"/>
      <name val="Arial Narrow"/>
      <family val="2"/>
    </font>
    <font>
      <sz val="8"/>
      <name val="Arial"/>
      <family val="2"/>
    </font>
    <font>
      <sz val="10"/>
      <name val="Bookman Old Style"/>
      <family val="1"/>
    </font>
    <font>
      <sz val="12"/>
      <name val="Trebuchet MS"/>
      <family val="2"/>
    </font>
    <font>
      <sz val="10"/>
      <color indexed="10"/>
      <name val="Trebuchet MS"/>
      <family val="2"/>
    </font>
    <font>
      <b/>
      <sz val="10"/>
      <name val="Arial Narrow"/>
      <family val="2"/>
    </font>
    <font>
      <sz val="10"/>
      <name val="Calibri"/>
      <family val="2"/>
    </font>
    <font>
      <b/>
      <sz val="12"/>
      <name val="Calibri"/>
      <family val="2"/>
    </font>
    <font>
      <b/>
      <sz val="10"/>
      <name val="Calibri"/>
      <family val="2"/>
    </font>
    <font>
      <b/>
      <sz val="11"/>
      <name val="Calibri"/>
      <family val="2"/>
    </font>
    <font>
      <b/>
      <i/>
      <sz val="10"/>
      <name val="Calibri"/>
      <family val="2"/>
    </font>
    <font>
      <sz val="10"/>
      <color indexed="10"/>
      <name val="Arial Narrow"/>
      <family val="2"/>
    </font>
    <font>
      <sz val="12"/>
      <name val="Calibri"/>
      <family val="2"/>
    </font>
    <font>
      <b/>
      <sz val="16"/>
      <name val="Calibri"/>
      <family val="2"/>
    </font>
    <font>
      <sz val="14"/>
      <name val="Calibri"/>
      <family val="2"/>
    </font>
    <font>
      <b/>
      <sz val="20"/>
      <name val="Calibri"/>
      <family val="2"/>
    </font>
    <font>
      <sz val="10"/>
      <color indexed="10"/>
      <name val="Trebuchet MS"/>
      <family val="2"/>
    </font>
    <font>
      <sz val="12"/>
      <color indexed="10"/>
      <name val="Trebuchet MS"/>
      <family val="2"/>
    </font>
    <font>
      <b/>
      <sz val="9"/>
      <name val="Calibri"/>
      <family val="2"/>
    </font>
    <font>
      <sz val="9"/>
      <color indexed="10"/>
      <name val="Trebuchet MS"/>
      <family val="2"/>
    </font>
    <font>
      <b/>
      <sz val="9"/>
      <name val="Trebuchet MS"/>
      <family val="2"/>
    </font>
    <font>
      <b/>
      <sz val="9"/>
      <name val="Calibri"/>
      <family val="2"/>
    </font>
    <font>
      <sz val="8"/>
      <name val="Calibri"/>
      <family val="2"/>
    </font>
    <font>
      <b/>
      <sz val="10"/>
      <name val="Calibri"/>
      <family val="2"/>
    </font>
    <font>
      <sz val="9"/>
      <name val="Calibri"/>
      <family val="2"/>
    </font>
    <font>
      <b/>
      <sz val="16"/>
      <name val="Times New Roman"/>
      <family val="1"/>
    </font>
    <font>
      <b/>
      <sz val="9"/>
      <name val="Times New Roman"/>
      <family val="1"/>
    </font>
    <font>
      <sz val="12"/>
      <name val="Times New Roman"/>
      <family val="1"/>
    </font>
    <font>
      <i/>
      <sz val="8"/>
      <name val="Times New Roman"/>
      <family val="1"/>
    </font>
    <font>
      <i/>
      <shadow/>
      <sz val="8"/>
      <name val="Times New Roman"/>
      <family val="1"/>
    </font>
    <font>
      <sz val="9"/>
      <name val="Times New Roman"/>
      <family val="1"/>
    </font>
    <font>
      <sz val="8"/>
      <name val="Times New Roman"/>
      <family val="1"/>
    </font>
    <font>
      <sz val="8"/>
      <name val="Arial"/>
      <family val="2"/>
    </font>
    <font>
      <sz val="10"/>
      <name val="Times New Roman"/>
      <family val="1"/>
    </font>
    <font>
      <sz val="9"/>
      <name val="Arial"/>
      <family val="2"/>
    </font>
    <font>
      <i/>
      <sz val="9"/>
      <name val="Times New Roman"/>
      <family val="1"/>
    </font>
    <font>
      <i/>
      <shadow/>
      <sz val="9"/>
      <name val="Times New Roman"/>
      <family val="1"/>
    </font>
    <font>
      <sz val="11"/>
      <name val="Times New Roman"/>
      <family val="1"/>
    </font>
    <font>
      <b/>
      <sz val="13"/>
      <name val="Times New Roman"/>
      <family val="1"/>
    </font>
    <font>
      <sz val="12"/>
      <name val="Wingdings"/>
      <charset val="2"/>
    </font>
    <font>
      <sz val="16"/>
      <name val="Times New Roman"/>
      <family val="1"/>
    </font>
    <font>
      <sz val="9"/>
      <name val="Wingdings"/>
      <charset val="2"/>
    </font>
    <font>
      <b/>
      <sz val="12"/>
      <name val="Times New Roman"/>
      <family val="1"/>
    </font>
    <font>
      <b/>
      <sz val="11"/>
      <name val="Times New Roman"/>
      <family val="1"/>
    </font>
    <font>
      <b/>
      <sz val="14"/>
      <name val="Times New Roman"/>
      <family val="1"/>
    </font>
    <font>
      <b/>
      <sz val="8"/>
      <name val="Times New Roman"/>
      <family val="1"/>
    </font>
    <font>
      <b/>
      <i/>
      <sz val="8"/>
      <name val="Times New Roman"/>
      <family val="1"/>
    </font>
    <font>
      <b/>
      <sz val="9"/>
      <name val="Wingdings"/>
      <charset val="2"/>
    </font>
    <font>
      <b/>
      <sz val="9"/>
      <color indexed="9"/>
      <name val="Times New Roman"/>
      <family val="1"/>
    </font>
    <font>
      <b/>
      <i/>
      <sz val="8"/>
      <color indexed="9"/>
      <name val="Times New Roman"/>
      <family val="1"/>
    </font>
    <font>
      <b/>
      <sz val="8"/>
      <color indexed="9"/>
      <name val="Times New Roman"/>
      <family val="1"/>
    </font>
    <font>
      <b/>
      <sz val="14"/>
      <name val="Arial"/>
      <family val="2"/>
    </font>
    <font>
      <b/>
      <sz val="15"/>
      <name val="Times New Roman"/>
      <family val="1"/>
    </font>
    <font>
      <i/>
      <sz val="8"/>
      <name val="Wingdings"/>
      <charset val="2"/>
    </font>
    <font>
      <b/>
      <sz val="10"/>
      <name val="Arial"/>
      <family val="2"/>
    </font>
    <font>
      <b/>
      <sz val="10"/>
      <name val="Times New Roman"/>
      <family val="1"/>
    </font>
    <font>
      <sz val="11"/>
      <name val="Calibri"/>
      <family val="2"/>
    </font>
    <font>
      <sz val="10"/>
      <name val="Wingdings"/>
      <charset val="2"/>
    </font>
    <font>
      <sz val="11"/>
      <name val="Wingdings"/>
      <charset val="2"/>
    </font>
    <font>
      <sz val="7"/>
      <name val="Trebuchet MS"/>
      <family val="2"/>
    </font>
    <font>
      <sz val="11"/>
      <color indexed="8"/>
      <name val="Calibri"/>
      <family val="2"/>
    </font>
    <font>
      <sz val="10"/>
      <color indexed="9"/>
      <name val="Calibri"/>
      <family val="2"/>
    </font>
    <font>
      <b/>
      <sz val="9"/>
      <name val="Arial Narrow"/>
      <family val="2"/>
    </font>
    <font>
      <sz val="9"/>
      <color indexed="8"/>
      <name val="Calibri"/>
      <family val="2"/>
    </font>
    <font>
      <b/>
      <sz val="9"/>
      <color indexed="8"/>
      <name val="Calibri"/>
      <family val="2"/>
    </font>
    <font>
      <sz val="9"/>
      <color indexed="48"/>
      <name val="Calibri"/>
      <family val="2"/>
    </font>
    <font>
      <b/>
      <sz val="9"/>
      <color indexed="53"/>
      <name val="Calibri"/>
      <family val="2"/>
    </font>
    <font>
      <i/>
      <sz val="10"/>
      <color indexed="12"/>
      <name val="Arial"/>
      <family val="2"/>
    </font>
    <font>
      <sz val="8"/>
      <name val="Arial"/>
      <family val="2"/>
    </font>
    <font>
      <sz val="6"/>
      <name val="Trebuchet MS"/>
      <family val="2"/>
    </font>
    <font>
      <b/>
      <sz val="26"/>
      <color indexed="8"/>
      <name val="Calibri"/>
      <family val="2"/>
    </font>
    <font>
      <sz val="14"/>
      <color indexed="8"/>
      <name val="Calibri"/>
      <family val="2"/>
    </font>
    <font>
      <sz val="8"/>
      <name val="Arial"/>
      <family val="2"/>
    </font>
    <font>
      <sz val="10"/>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color theme="6" tint="-0.499984740745262"/>
      <name val="Calibri"/>
      <family val="2"/>
    </font>
    <font>
      <sz val="9"/>
      <color theme="6" tint="-0.499984740745262"/>
      <name val="Calibri"/>
      <family val="2"/>
    </font>
    <font>
      <b/>
      <sz val="11"/>
      <color theme="6" tint="0.79998168889431442"/>
      <name val="Calibri"/>
      <family val="2"/>
    </font>
    <font>
      <sz val="10"/>
      <color theme="6" tint="0.79998168889431442"/>
      <name val="Calibri"/>
      <family val="2"/>
    </font>
    <font>
      <sz val="9"/>
      <color theme="5" tint="-0.499984740745262"/>
      <name val="Calibri"/>
      <family val="2"/>
    </font>
    <font>
      <sz val="8"/>
      <name val="Franklin Gothic Book"/>
      <family val="2"/>
    </font>
    <font>
      <u/>
      <sz val="9"/>
      <color indexed="12"/>
      <name val="Arial"/>
      <family val="2"/>
    </font>
    <font>
      <b/>
      <sz val="9"/>
      <color theme="5" tint="-0.499984740745262"/>
      <name val="Calibri"/>
      <family val="2"/>
    </font>
    <font>
      <sz val="10"/>
      <color theme="10"/>
      <name val="Arial"/>
      <family val="2"/>
    </font>
    <font>
      <sz val="10"/>
      <name val="Calibri"/>
      <family val="2"/>
      <scheme val="minor"/>
    </font>
    <font>
      <sz val="10"/>
      <color indexed="55"/>
      <name val="Calibri"/>
      <family val="2"/>
      <scheme val="minor"/>
    </font>
    <font>
      <sz val="10"/>
      <color indexed="12"/>
      <name val="Calibri"/>
      <family val="2"/>
      <scheme val="minor"/>
    </font>
    <font>
      <b/>
      <sz val="16"/>
      <color theme="5" tint="-0.499984740745262"/>
      <name val="Trebuchet MS"/>
      <family val="2"/>
    </font>
    <font>
      <b/>
      <sz val="10"/>
      <color theme="5" tint="-0.499984740745262"/>
      <name val="Trebuchet MS"/>
      <family val="2"/>
    </font>
    <font>
      <sz val="10"/>
      <color theme="5" tint="-0.499984740745262"/>
      <name val="Calibri"/>
      <family val="2"/>
      <scheme val="minor"/>
    </font>
    <font>
      <sz val="10"/>
      <color rgb="FFFF0000"/>
      <name val="Calibri"/>
      <family val="2"/>
      <scheme val="minor"/>
    </font>
    <font>
      <b/>
      <sz val="10"/>
      <color theme="5" tint="-0.499984740745262"/>
      <name val="Calibri"/>
      <family val="2"/>
    </font>
    <font>
      <b/>
      <sz val="16"/>
      <color theme="6" tint="-0.499984740745262"/>
      <name val="Calibri"/>
      <family val="2"/>
    </font>
    <font>
      <sz val="10"/>
      <name val="Tahoma"/>
      <family val="2"/>
    </font>
    <font>
      <sz val="9"/>
      <name val="Book Antiqua"/>
      <family val="1"/>
    </font>
  </fonts>
  <fills count="4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49998474074526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39997558519241921"/>
        <bgColor indexed="64"/>
      </patternFill>
    </fill>
    <fill>
      <patternFill patternType="solid">
        <fgColor theme="5" tint="0.59999389629810485"/>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17"/>
      </left>
      <right/>
      <top style="medium">
        <color indexed="17"/>
      </top>
      <bottom/>
      <diagonal/>
    </border>
    <border>
      <left style="medium">
        <color indexed="17"/>
      </left>
      <right/>
      <top/>
      <bottom/>
      <diagonal/>
    </border>
    <border>
      <left style="medium">
        <color indexed="17"/>
      </left>
      <right/>
      <top/>
      <bottom style="medium">
        <color indexed="17"/>
      </bottom>
      <diagonal/>
    </border>
    <border>
      <left/>
      <right/>
      <top style="thin">
        <color indexed="53"/>
      </top>
      <bottom/>
      <diagonal/>
    </border>
    <border>
      <left/>
      <right/>
      <top/>
      <bottom style="thin">
        <color indexed="53"/>
      </bottom>
      <diagonal/>
    </border>
    <border>
      <left/>
      <right/>
      <top style="thin">
        <color indexed="53"/>
      </top>
      <bottom style="thin">
        <color indexed="53"/>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17"/>
      </right>
      <top style="medium">
        <color indexed="17"/>
      </top>
      <bottom/>
      <diagonal/>
    </border>
    <border>
      <left/>
      <right style="medium">
        <color indexed="17"/>
      </right>
      <top/>
      <bottom/>
      <diagonal/>
    </border>
    <border>
      <left/>
      <right/>
      <top/>
      <bottom style="medium">
        <color indexed="17"/>
      </bottom>
      <diagonal/>
    </border>
    <border>
      <left/>
      <right style="medium">
        <color indexed="17"/>
      </right>
      <top/>
      <bottom style="medium">
        <color indexed="17"/>
      </bottom>
      <diagonal/>
    </border>
    <border>
      <left/>
      <right/>
      <top style="medium">
        <color indexed="17"/>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9" tint="-0.249977111117893"/>
      </top>
      <bottom/>
      <diagonal/>
    </border>
    <border>
      <left/>
      <right/>
      <top/>
      <bottom style="thin">
        <color theme="9" tint="-0.249977111117893"/>
      </bottom>
      <diagonal/>
    </border>
    <border>
      <left/>
      <right/>
      <top style="thin">
        <color indexed="53"/>
      </top>
      <bottom style="thin">
        <color theme="9" tint="-0.249977111117893"/>
      </bottom>
      <diagonal/>
    </border>
    <border>
      <left style="thin">
        <color theme="9" tint="-0.249977111117893"/>
      </left>
      <right/>
      <top/>
      <bottom/>
      <diagonal/>
    </border>
    <border>
      <left/>
      <right/>
      <top style="thin">
        <color theme="9" tint="-0.249977111117893"/>
      </top>
      <bottom style="thin">
        <color theme="9" tint="-0.249977111117893"/>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style="thin">
        <color theme="5" tint="-0.499984740745262"/>
      </top>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style="thin">
        <color theme="5" tint="-0.499984740745262"/>
      </left>
      <right/>
      <top/>
      <bottom style="thin">
        <color theme="5" tint="-0.499984740745262"/>
      </bottom>
      <diagonal/>
    </border>
    <border>
      <left/>
      <right style="thin">
        <color theme="5" tint="-0.499984740745262"/>
      </right>
      <top style="thin">
        <color theme="5" tint="-0.499984740745262"/>
      </top>
      <bottom/>
      <diagonal/>
    </border>
    <border>
      <left/>
      <right style="thin">
        <color theme="5" tint="-0.499984740745262"/>
      </right>
      <top style="thin">
        <color theme="5" tint="-0.499984740745262"/>
      </top>
      <bottom style="thin">
        <color theme="5" tint="-0.499984740745262"/>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right style="thin">
        <color theme="9" tint="-0.249977111117893"/>
      </right>
      <top style="thin">
        <color indexed="53"/>
      </top>
      <bottom style="thin">
        <color theme="9" tint="-0.249977111117893"/>
      </bottom>
      <diagonal/>
    </border>
    <border>
      <left/>
      <right style="thin">
        <color theme="9" tint="-0.249977111117893"/>
      </right>
      <top style="thin">
        <color theme="9" tint="-0.249977111117893"/>
      </top>
      <bottom style="thin">
        <color indexed="53"/>
      </bottom>
      <diagonal/>
    </border>
    <border>
      <left/>
      <right style="thin">
        <color theme="9" tint="-0.249977111117893"/>
      </right>
      <top style="thin">
        <color indexed="53"/>
      </top>
      <bottom style="thin">
        <color indexed="53"/>
      </bottom>
      <diagonal/>
    </border>
    <border>
      <left/>
      <right/>
      <top style="thin">
        <color theme="9" tint="-0.249977111117893"/>
      </top>
      <bottom style="thin">
        <color indexed="53"/>
      </bottom>
      <diagonal/>
    </border>
    <border>
      <left/>
      <right style="thin">
        <color theme="9" tint="-0.249977111117893"/>
      </right>
      <top style="thin">
        <color indexed="53"/>
      </top>
      <bottom/>
      <diagonal/>
    </border>
    <border>
      <left/>
      <right style="thin">
        <color theme="9" tint="-0.249977111117893"/>
      </right>
      <top/>
      <bottom style="thin">
        <color indexed="5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bottom/>
      <diagonal/>
    </border>
    <border>
      <left style="thin">
        <color theme="9" tint="-0.249977111117893"/>
      </left>
      <right style="thin">
        <color theme="9" tint="-0.249977111117893"/>
      </right>
      <top/>
      <bottom style="thin">
        <color theme="9" tint="-0.249977111117893"/>
      </bottom>
      <diagonal/>
    </border>
  </borders>
  <cellStyleXfs count="54">
    <xf numFmtId="0" fontId="0" fillId="0" borderId="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4" fillId="29" borderId="0" applyNumberFormat="0" applyBorder="0" applyAlignment="0" applyProtection="0"/>
    <xf numFmtId="0" fontId="85" fillId="30" borderId="73" applyNumberFormat="0" applyAlignment="0" applyProtection="0"/>
    <xf numFmtId="0" fontId="86" fillId="31" borderId="74" applyNumberFormat="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0" fontId="87" fillId="0" borderId="0" applyNumberFormat="0" applyFill="0" applyBorder="0" applyAlignment="0" applyProtection="0"/>
    <xf numFmtId="0" fontId="88" fillId="32" borderId="0" applyNumberFormat="0" applyBorder="0" applyAlignment="0" applyProtection="0"/>
    <xf numFmtId="0" fontId="89" fillId="0" borderId="75" applyNumberFormat="0" applyFill="0" applyAlignment="0" applyProtection="0"/>
    <xf numFmtId="0" fontId="90" fillId="0" borderId="76" applyNumberFormat="0" applyFill="0" applyAlignment="0" applyProtection="0"/>
    <xf numFmtId="0" fontId="91" fillId="0" borderId="77"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3" borderId="73" applyNumberFormat="0" applyAlignment="0" applyProtection="0"/>
    <xf numFmtId="0" fontId="94" fillId="0" borderId="78" applyNumberFormat="0" applyFill="0" applyAlignment="0" applyProtection="0"/>
    <xf numFmtId="0" fontId="95" fillId="34" borderId="0" applyNumberFormat="0" applyBorder="0" applyAlignment="0" applyProtection="0"/>
    <xf numFmtId="0" fontId="82" fillId="0" borderId="0"/>
    <xf numFmtId="0" fontId="7" fillId="0" borderId="0"/>
    <xf numFmtId="0" fontId="6" fillId="0" borderId="0"/>
    <xf numFmtId="0" fontId="10" fillId="0" borderId="0"/>
    <xf numFmtId="0" fontId="6" fillId="0" borderId="0"/>
    <xf numFmtId="0" fontId="68" fillId="35" borderId="79" applyNumberFormat="0" applyFont="0" applyAlignment="0" applyProtection="0"/>
    <xf numFmtId="0" fontId="96" fillId="30" borderId="80" applyNumberFormat="0" applyAlignment="0" applyProtection="0"/>
    <xf numFmtId="0" fontId="97" fillId="0" borderId="0" applyNumberFormat="0" applyFill="0" applyBorder="0" applyAlignment="0" applyProtection="0"/>
    <xf numFmtId="0" fontId="98" fillId="0" borderId="81" applyNumberFormat="0" applyFill="0" applyAlignment="0" applyProtection="0"/>
    <xf numFmtId="0" fontId="99" fillId="0" borderId="0" applyNumberFormat="0" applyFill="0" applyBorder="0" applyAlignment="0" applyProtection="0"/>
    <xf numFmtId="0" fontId="105" fillId="0" borderId="0"/>
    <xf numFmtId="0" fontId="106" fillId="0" borderId="0" applyNumberFormat="0" applyFill="0" applyBorder="0" applyAlignment="0" applyProtection="0">
      <alignment vertical="top"/>
      <protection locked="0"/>
    </xf>
  </cellStyleXfs>
  <cellXfs count="761">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top" wrapText="1"/>
    </xf>
    <xf numFmtId="0" fontId="4" fillId="0" borderId="0" xfId="0" applyFont="1" applyAlignment="1">
      <alignment horizontal="center" vertical="center" wrapText="1"/>
    </xf>
    <xf numFmtId="0" fontId="8" fillId="0" borderId="0" xfId="0" applyFont="1" applyAlignment="1">
      <alignment vertical="center" wrapText="1"/>
    </xf>
    <xf numFmtId="0" fontId="3" fillId="0" borderId="0" xfId="0" applyFont="1" applyAlignment="1">
      <alignment horizontal="center" vertical="center" wrapText="1"/>
    </xf>
    <xf numFmtId="0" fontId="14" fillId="0" borderId="0" xfId="0" applyFont="1" applyAlignment="1">
      <alignment vertical="top" wrapText="1"/>
    </xf>
    <xf numFmtId="0" fontId="14" fillId="0" borderId="0" xfId="0" applyFont="1" applyAlignment="1" applyProtection="1">
      <alignment horizontal="center" vertical="top" wrapText="1"/>
      <protection hidden="1"/>
    </xf>
    <xf numFmtId="0" fontId="14" fillId="0" borderId="0" xfId="0" applyFont="1" applyAlignment="1" applyProtection="1">
      <alignment horizontal="left" vertical="top" wrapText="1"/>
      <protection hidden="1"/>
    </xf>
    <xf numFmtId="0" fontId="14" fillId="0" borderId="0" xfId="0" applyFont="1" applyAlignment="1" applyProtection="1">
      <alignment horizontal="right" vertical="top" wrapText="1"/>
      <protection hidden="1"/>
    </xf>
    <xf numFmtId="164" fontId="14" fillId="0" borderId="0" xfId="28" applyNumberFormat="1" applyFont="1" applyAlignment="1" applyProtection="1">
      <alignment vertical="center" wrapText="1"/>
      <protection hidden="1"/>
    </xf>
    <xf numFmtId="164" fontId="14" fillId="0" borderId="0" xfId="28" applyNumberFormat="1" applyFont="1" applyAlignment="1" applyProtection="1">
      <alignment vertical="top" wrapText="1"/>
      <protection hidden="1"/>
    </xf>
    <xf numFmtId="164" fontId="14" fillId="0" borderId="0" xfId="28" applyNumberFormat="1" applyFont="1" applyAlignment="1" applyProtection="1">
      <alignment horizontal="right" vertical="top" wrapText="1"/>
      <protection hidden="1"/>
    </xf>
    <xf numFmtId="164" fontId="16" fillId="0" borderId="0" xfId="28" applyNumberFormat="1" applyFont="1" applyAlignment="1" applyProtection="1">
      <alignment vertical="top" wrapText="1"/>
      <protection hidden="1"/>
    </xf>
    <xf numFmtId="164" fontId="14" fillId="0" borderId="0" xfId="0" applyNumberFormat="1" applyFont="1" applyAlignment="1">
      <alignment vertical="top" wrapText="1"/>
    </xf>
    <xf numFmtId="0" fontId="16" fillId="0" borderId="0" xfId="0" applyFont="1" applyAlignment="1" applyProtection="1">
      <alignment horizontal="right" vertical="top" wrapText="1"/>
      <protection hidden="1"/>
    </xf>
    <xf numFmtId="0" fontId="14" fillId="0" borderId="0" xfId="0" applyFont="1" applyAlignment="1" applyProtection="1">
      <alignment horizontal="right" vertical="top"/>
      <protection hidden="1"/>
    </xf>
    <xf numFmtId="0" fontId="15" fillId="0" borderId="0" xfId="0" applyFont="1" applyAlignment="1">
      <alignment vertical="top" wrapText="1"/>
    </xf>
    <xf numFmtId="0" fontId="14" fillId="0" borderId="0" xfId="0" applyFont="1" applyAlignment="1" applyProtection="1">
      <alignment vertical="top" wrapText="1"/>
      <protection hidden="1"/>
    </xf>
    <xf numFmtId="0" fontId="14" fillId="0" borderId="0" xfId="0" applyFont="1" applyAlignment="1">
      <alignment horizontal="center" vertical="top" wrapText="1"/>
    </xf>
    <xf numFmtId="0" fontId="14" fillId="0" borderId="0" xfId="0" applyFont="1" applyAlignment="1">
      <alignment horizontal="left" vertical="top" wrapText="1"/>
    </xf>
    <xf numFmtId="0" fontId="14" fillId="0" borderId="0" xfId="0" applyFont="1" applyAlignment="1">
      <alignment horizontal="right" vertical="top" wrapText="1"/>
    </xf>
    <xf numFmtId="164" fontId="14" fillId="0" borderId="0" xfId="28" applyNumberFormat="1" applyFont="1" applyAlignment="1">
      <alignment vertical="top" wrapText="1"/>
    </xf>
    <xf numFmtId="164" fontId="14" fillId="0" borderId="0" xfId="28" applyNumberFormat="1" applyFont="1" applyAlignment="1">
      <alignment horizontal="right" vertical="top" wrapText="1"/>
    </xf>
    <xf numFmtId="0" fontId="16" fillId="0" borderId="0" xfId="0" applyFont="1" applyAlignment="1" applyProtection="1">
      <alignment horizontal="center" vertical="top" wrapText="1"/>
      <protection hidden="1"/>
    </xf>
    <xf numFmtId="0" fontId="16" fillId="0" borderId="0" xfId="0" applyFont="1" applyAlignment="1">
      <alignment vertical="top" wrapText="1"/>
    </xf>
    <xf numFmtId="0" fontId="14" fillId="0" borderId="0" xfId="0" applyFont="1" applyBorder="1" applyAlignment="1">
      <alignment vertical="top" wrapText="1"/>
    </xf>
    <xf numFmtId="0" fontId="16" fillId="0" borderId="0" xfId="0" applyFont="1" applyBorder="1" applyAlignment="1">
      <alignment vertical="top" wrapText="1"/>
    </xf>
    <xf numFmtId="0" fontId="14" fillId="0" borderId="0"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pplyProtection="1">
      <alignment horizontal="center" vertical="top" wrapText="1"/>
      <protection hidden="1"/>
    </xf>
    <xf numFmtId="0" fontId="14" fillId="0" borderId="2" xfId="0" applyFont="1" applyBorder="1" applyAlignment="1" applyProtection="1">
      <alignment horizontal="left" vertical="top" wrapText="1"/>
      <protection hidden="1"/>
    </xf>
    <xf numFmtId="164" fontId="14" fillId="0" borderId="2" xfId="28" applyNumberFormat="1" applyFont="1" applyBorder="1" applyAlignment="1" applyProtection="1">
      <alignment horizontal="right" vertical="top" wrapText="1"/>
      <protection hidden="1"/>
    </xf>
    <xf numFmtId="164" fontId="14" fillId="0" borderId="2" xfId="28" applyNumberFormat="1" applyFont="1" applyBorder="1" applyAlignment="1" applyProtection="1">
      <alignment vertical="top" wrapText="1"/>
      <protection hidden="1"/>
    </xf>
    <xf numFmtId="164" fontId="14" fillId="0" borderId="3" xfId="28" applyNumberFormat="1" applyFont="1" applyBorder="1" applyAlignment="1" applyProtection="1">
      <alignment vertical="top" wrapText="1"/>
      <protection hidden="1"/>
    </xf>
    <xf numFmtId="0" fontId="14" fillId="0" borderId="4" xfId="0" applyFont="1" applyBorder="1" applyAlignment="1" applyProtection="1">
      <alignment horizontal="center" vertical="top" wrapText="1"/>
      <protection hidden="1"/>
    </xf>
    <xf numFmtId="0" fontId="14" fillId="0" borderId="0" xfId="0" applyFont="1" applyBorder="1" applyAlignment="1" applyProtection="1">
      <alignment horizontal="center" vertical="top" wrapText="1"/>
      <protection hidden="1"/>
    </xf>
    <xf numFmtId="164" fontId="14" fillId="0" borderId="0" xfId="28" applyNumberFormat="1" applyFont="1" applyBorder="1" applyAlignment="1" applyProtection="1">
      <alignment horizontal="right" vertical="top" wrapText="1"/>
      <protection hidden="1"/>
    </xf>
    <xf numFmtId="164" fontId="14" fillId="0" borderId="0" xfId="28" applyNumberFormat="1" applyFont="1" applyBorder="1" applyAlignment="1" applyProtection="1">
      <alignment vertical="top" wrapText="1"/>
      <protection hidden="1"/>
    </xf>
    <xf numFmtId="164" fontId="14" fillId="0" borderId="5" xfId="28" applyNumberFormat="1" applyFont="1" applyBorder="1" applyAlignment="1" applyProtection="1">
      <alignment vertical="top" wrapText="1"/>
      <protection hidden="1"/>
    </xf>
    <xf numFmtId="0" fontId="14" fillId="0" borderId="0" xfId="0" applyFont="1" applyBorder="1" applyAlignment="1" applyProtection="1">
      <alignment vertical="top" wrapText="1"/>
      <protection hidden="1"/>
    </xf>
    <xf numFmtId="164" fontId="16" fillId="0" borderId="5" xfId="28" applyNumberFormat="1" applyFont="1" applyBorder="1" applyAlignment="1" applyProtection="1">
      <alignment vertical="top" wrapText="1"/>
      <protection hidden="1"/>
    </xf>
    <xf numFmtId="0" fontId="14" fillId="0" borderId="6" xfId="0" applyFont="1" applyBorder="1" applyAlignment="1" applyProtection="1">
      <alignment horizontal="center" vertical="center" wrapText="1"/>
      <protection hidden="1"/>
    </xf>
    <xf numFmtId="0" fontId="14" fillId="0" borderId="0" xfId="0" applyFont="1" applyBorder="1" applyAlignment="1" applyProtection="1">
      <alignment horizontal="right" vertical="top" wrapText="1"/>
      <protection hidden="1"/>
    </xf>
    <xf numFmtId="0" fontId="14" fillId="0" borderId="5" xfId="0" applyFont="1" applyBorder="1" applyAlignment="1" applyProtection="1">
      <alignment vertical="top" wrapText="1"/>
      <protection hidden="1"/>
    </xf>
    <xf numFmtId="0" fontId="14" fillId="0" borderId="4" xfId="0" applyFont="1" applyBorder="1" applyAlignment="1" applyProtection="1">
      <alignment horizontal="left" vertical="top"/>
      <protection hidden="1"/>
    </xf>
    <xf numFmtId="0" fontId="14" fillId="0" borderId="0" xfId="0" applyFont="1" applyBorder="1" applyAlignment="1" applyProtection="1">
      <alignment horizontal="left" vertical="top"/>
      <protection hidden="1"/>
    </xf>
    <xf numFmtId="0" fontId="14" fillId="0" borderId="5" xfId="0" applyFont="1" applyBorder="1" applyAlignment="1" applyProtection="1">
      <alignment horizontal="right" vertical="top"/>
      <protection hidden="1"/>
    </xf>
    <xf numFmtId="0" fontId="14" fillId="0" borderId="7" xfId="0" applyFont="1" applyBorder="1" applyAlignment="1" applyProtection="1">
      <alignment horizontal="center" vertical="top" wrapText="1"/>
      <protection hidden="1"/>
    </xf>
    <xf numFmtId="0" fontId="14" fillId="0" borderId="7" xfId="0" applyFont="1" applyBorder="1" applyAlignment="1" applyProtection="1">
      <alignment vertical="top" wrapText="1"/>
      <protection hidden="1"/>
    </xf>
    <xf numFmtId="0" fontId="14" fillId="0" borderId="7" xfId="0" applyFont="1" applyBorder="1" applyAlignment="1" applyProtection="1">
      <alignment horizontal="right" vertical="top" wrapText="1"/>
      <protection hidden="1"/>
    </xf>
    <xf numFmtId="0" fontId="14" fillId="0" borderId="0" xfId="0" applyFont="1" applyBorder="1" applyAlignment="1">
      <alignment horizontal="center" vertical="center" wrapText="1"/>
    </xf>
    <xf numFmtId="0" fontId="14" fillId="0" borderId="0" xfId="0" applyFont="1" applyBorder="1" applyAlignment="1">
      <alignment horizontal="center" vertical="top" wrapText="1"/>
    </xf>
    <xf numFmtId="0" fontId="14" fillId="0" borderId="0" xfId="0" applyFont="1" applyBorder="1" applyAlignment="1">
      <alignment horizontal="right" vertical="top" wrapText="1"/>
    </xf>
    <xf numFmtId="0" fontId="14" fillId="0" borderId="7" xfId="0" applyFont="1" applyBorder="1" applyAlignment="1" applyProtection="1">
      <alignment horizontal="right" vertical="top"/>
      <protection hidden="1"/>
    </xf>
    <xf numFmtId="0" fontId="14" fillId="0" borderId="0" xfId="0" applyFont="1" applyBorder="1" applyAlignment="1" applyProtection="1">
      <alignment horizontal="right" vertical="top"/>
      <protection hidden="1"/>
    </xf>
    <xf numFmtId="17" fontId="14" fillId="0" borderId="8" xfId="0" applyNumberFormat="1" applyFont="1" applyBorder="1" applyAlignment="1" applyProtection="1">
      <alignment horizontal="center" vertical="center" wrapText="1"/>
      <protection hidden="1"/>
    </xf>
    <xf numFmtId="164" fontId="14" fillId="0" borderId="0" xfId="0" applyNumberFormat="1" applyFont="1" applyAlignment="1" applyProtection="1">
      <alignment vertical="top" wrapText="1"/>
      <protection hidden="1"/>
    </xf>
    <xf numFmtId="0" fontId="16" fillId="0" borderId="0" xfId="0" applyFont="1" applyAlignment="1" applyProtection="1">
      <alignment horizontal="center" vertical="center" wrapText="1"/>
      <protection hidden="1"/>
    </xf>
    <xf numFmtId="0" fontId="3" fillId="0" borderId="0" xfId="0" applyFont="1" applyAlignment="1">
      <alignment horizontal="right" vertical="top" wrapText="1"/>
    </xf>
    <xf numFmtId="0" fontId="3" fillId="0" borderId="0" xfId="0" applyFont="1" applyAlignment="1">
      <alignment wrapText="1"/>
    </xf>
    <xf numFmtId="0" fontId="5" fillId="0" borderId="0" xfId="0" applyFont="1" applyAlignment="1">
      <alignment wrapText="1"/>
    </xf>
    <xf numFmtId="0" fontId="18" fillId="0" borderId="0" xfId="0" applyFont="1" applyAlignment="1">
      <alignment horizontal="right"/>
    </xf>
    <xf numFmtId="164" fontId="16" fillId="0" borderId="0" xfId="0" applyNumberFormat="1" applyFont="1" applyBorder="1" applyAlignment="1" applyProtection="1">
      <alignment horizontal="center" vertical="center" wrapText="1"/>
      <protection hidden="1"/>
    </xf>
    <xf numFmtId="0" fontId="11" fillId="0" borderId="0" xfId="0" applyFont="1" applyAlignment="1">
      <alignment vertical="top" wrapText="1"/>
    </xf>
    <xf numFmtId="164" fontId="8" fillId="0" borderId="6" xfId="28" applyNumberFormat="1" applyFont="1" applyBorder="1" applyAlignment="1" applyProtection="1">
      <alignment vertical="center" wrapText="1"/>
      <protection hidden="1"/>
    </xf>
    <xf numFmtId="0" fontId="13" fillId="0" borderId="9" xfId="0" applyFont="1" applyBorder="1" applyAlignment="1" applyProtection="1">
      <alignment horizontal="center" vertical="center" wrapText="1"/>
      <protection hidden="1"/>
    </xf>
    <xf numFmtId="164" fontId="13" fillId="0" borderId="10" xfId="28" applyNumberFormat="1" applyFont="1" applyBorder="1" applyAlignment="1" applyProtection="1">
      <alignment vertical="center" wrapText="1"/>
      <protection hidden="1"/>
    </xf>
    <xf numFmtId="164" fontId="8" fillId="0" borderId="12" xfId="28" applyNumberFormat="1" applyFont="1" applyBorder="1" applyAlignment="1" applyProtection="1">
      <alignment vertical="center" wrapText="1"/>
      <protection hidden="1"/>
    </xf>
    <xf numFmtId="0" fontId="8" fillId="0" borderId="8"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43" fontId="3" fillId="0" borderId="0" xfId="0" applyNumberFormat="1" applyFont="1" applyAlignment="1">
      <alignment vertical="center" wrapText="1"/>
    </xf>
    <xf numFmtId="43" fontId="4" fillId="0" borderId="0" xfId="0" applyNumberFormat="1" applyFont="1" applyAlignment="1">
      <alignment vertical="center" wrapText="1"/>
    </xf>
    <xf numFmtId="0" fontId="14" fillId="0" borderId="0" xfId="0" applyFont="1" applyBorder="1" applyAlignment="1" applyProtection="1">
      <alignment horizontal="left" vertical="center" wrapText="1"/>
      <protection hidden="1"/>
    </xf>
    <xf numFmtId="0" fontId="12" fillId="0" borderId="0" xfId="0" applyFont="1" applyAlignment="1">
      <alignment vertical="center" wrapText="1"/>
    </xf>
    <xf numFmtId="0" fontId="25" fillId="0" borderId="0" xfId="0" applyFont="1" applyAlignment="1">
      <alignment vertical="top" wrapText="1"/>
    </xf>
    <xf numFmtId="0" fontId="19"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vertical="top" wrapText="1"/>
    </xf>
    <xf numFmtId="0" fontId="24" fillId="0" borderId="0" xfId="0" applyFont="1" applyAlignment="1">
      <alignment horizontal="center" vertical="center" wrapText="1"/>
    </xf>
    <xf numFmtId="0" fontId="24" fillId="0" borderId="0" xfId="0" applyFont="1" applyAlignment="1">
      <alignment wrapText="1"/>
    </xf>
    <xf numFmtId="0" fontId="26" fillId="0" borderId="6" xfId="0" applyFont="1" applyBorder="1" applyAlignment="1" applyProtection="1">
      <alignment horizontal="center" vertical="center" wrapText="1"/>
      <protection hidden="1"/>
    </xf>
    <xf numFmtId="0" fontId="26" fillId="0" borderId="13" xfId="0" applyFont="1" applyBorder="1" applyAlignment="1" applyProtection="1">
      <alignment horizontal="center" vertical="center" wrapText="1"/>
      <protection hidden="1"/>
    </xf>
    <xf numFmtId="0" fontId="27"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6" fillId="0" borderId="7" xfId="0" applyFont="1" applyBorder="1" applyAlignment="1" applyProtection="1">
      <alignment horizontal="left" vertical="center"/>
      <protection hidden="1"/>
    </xf>
    <xf numFmtId="0" fontId="14" fillId="0" borderId="0" xfId="0" applyFont="1" applyAlignment="1" applyProtection="1">
      <alignment vertical="center" wrapText="1"/>
      <protection hidden="1"/>
    </xf>
    <xf numFmtId="0" fontId="14" fillId="0" borderId="7" xfId="0" applyFont="1" applyBorder="1" applyAlignment="1" applyProtection="1">
      <alignment horizontal="center" vertical="center" wrapText="1"/>
      <protection hidden="1"/>
    </xf>
    <xf numFmtId="0" fontId="16" fillId="0" borderId="7" xfId="0" applyFont="1" applyBorder="1" applyAlignment="1" applyProtection="1">
      <alignment horizontal="right" vertical="center"/>
      <protection hidden="1"/>
    </xf>
    <xf numFmtId="0" fontId="8" fillId="0" borderId="6" xfId="0" applyFont="1" applyBorder="1" applyAlignment="1" applyProtection="1">
      <alignment horizontal="center" vertical="center" wrapText="1"/>
      <protection hidden="1"/>
    </xf>
    <xf numFmtId="0" fontId="8" fillId="0" borderId="0" xfId="0" applyFont="1" applyAlignment="1" applyProtection="1">
      <alignment horizontal="right" vertical="top" wrapText="1"/>
      <protection hidden="1"/>
    </xf>
    <xf numFmtId="164" fontId="8" fillId="0" borderId="0" xfId="28" applyNumberFormat="1" applyFont="1" applyAlignment="1" applyProtection="1">
      <alignment horizontal="right" vertical="top" wrapText="1"/>
      <protection hidden="1"/>
    </xf>
    <xf numFmtId="0" fontId="13" fillId="0" borderId="0" xfId="0" applyFont="1" applyAlignment="1" applyProtection="1">
      <alignment horizontal="right" vertical="top" wrapText="1"/>
      <protection hidden="1"/>
    </xf>
    <xf numFmtId="0" fontId="15" fillId="0" borderId="0"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32" fillId="0" borderId="0" xfId="0" applyFont="1" applyBorder="1" applyAlignment="1">
      <alignment vertical="center" wrapText="1"/>
    </xf>
    <xf numFmtId="0" fontId="32" fillId="0" borderId="0" xfId="0" applyFont="1" applyAlignment="1">
      <alignment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8" fillId="0" borderId="6" xfId="0" applyFont="1" applyBorder="1" applyAlignment="1" applyProtection="1">
      <alignment horizontal="center" vertical="center" wrapText="1"/>
      <protection hidden="1"/>
    </xf>
    <xf numFmtId="0" fontId="0" fillId="0" borderId="0" xfId="0" applyBorder="1" applyProtection="1">
      <protection hidden="1"/>
    </xf>
    <xf numFmtId="0" fontId="42" fillId="0" borderId="0" xfId="0" applyFont="1" applyBorder="1" applyAlignment="1" applyProtection="1">
      <alignment vertical="center"/>
      <protection hidden="1"/>
    </xf>
    <xf numFmtId="0" fontId="45" fillId="0" borderId="15" xfId="0" applyFont="1" applyBorder="1" applyAlignment="1" applyProtection="1">
      <alignment horizontal="center" vertical="center" wrapText="1"/>
      <protection hidden="1"/>
    </xf>
    <xf numFmtId="0" fontId="39" fillId="0" borderId="2" xfId="0" applyFont="1" applyBorder="1" applyAlignment="1" applyProtection="1">
      <alignment vertical="center" wrapText="1"/>
      <protection hidden="1"/>
    </xf>
    <xf numFmtId="0" fontId="39" fillId="0" borderId="16" xfId="0" applyFont="1" applyBorder="1" applyAlignment="1" applyProtection="1">
      <alignment vertical="center" wrapText="1"/>
      <protection hidden="1"/>
    </xf>
    <xf numFmtId="0" fontId="45" fillId="0" borderId="11" xfId="0" applyFont="1" applyBorder="1" applyAlignment="1" applyProtection="1">
      <alignment vertical="center" wrapText="1"/>
      <protection hidden="1"/>
    </xf>
    <xf numFmtId="0" fontId="45" fillId="0" borderId="7" xfId="0" applyFont="1" applyBorder="1" applyAlignment="1" applyProtection="1">
      <alignment vertical="center" wrapText="1"/>
      <protection hidden="1"/>
    </xf>
    <xf numFmtId="0" fontId="45" fillId="0" borderId="6" xfId="0" applyFont="1" applyBorder="1" applyAlignment="1" applyProtection="1">
      <alignment vertical="center" wrapText="1"/>
      <protection hidden="1"/>
    </xf>
    <xf numFmtId="0" fontId="45" fillId="0" borderId="17" xfId="0" applyFont="1" applyBorder="1" applyAlignment="1" applyProtection="1">
      <alignment vertical="center" wrapText="1"/>
      <protection hidden="1"/>
    </xf>
    <xf numFmtId="0" fontId="38" fillId="2" borderId="6" xfId="0" applyFont="1" applyFill="1" applyBorder="1" applyAlignment="1" applyProtection="1">
      <alignment horizontal="center" vertical="center" wrapText="1"/>
      <protection hidden="1"/>
    </xf>
    <xf numFmtId="0" fontId="38" fillId="0" borderId="13" xfId="0" applyFont="1" applyBorder="1" applyAlignment="1" applyProtection="1">
      <alignment horizontal="center" vertical="center" wrapText="1"/>
      <protection hidden="1"/>
    </xf>
    <xf numFmtId="0" fontId="42" fillId="0" borderId="0" xfId="0" applyFont="1" applyBorder="1" applyProtection="1">
      <protection hidden="1"/>
    </xf>
    <xf numFmtId="0" fontId="0" fillId="0" borderId="0" xfId="0" applyBorder="1" applyAlignment="1" applyProtection="1">
      <alignment horizontal="center"/>
      <protection hidden="1"/>
    </xf>
    <xf numFmtId="0" fontId="34" fillId="0" borderId="0" xfId="0" applyFont="1" applyBorder="1" applyProtection="1">
      <protection hidden="1"/>
    </xf>
    <xf numFmtId="0" fontId="14" fillId="0" borderId="0" xfId="0" applyFont="1" applyBorder="1" applyAlignment="1" applyProtection="1">
      <alignment horizontal="left" vertical="top" wrapText="1"/>
      <protection hidden="1"/>
    </xf>
    <xf numFmtId="164" fontId="31" fillId="0" borderId="0" xfId="28" applyNumberFormat="1" applyFont="1" applyBorder="1" applyAlignment="1" applyProtection="1">
      <alignment vertical="top" wrapText="1"/>
      <protection hidden="1"/>
    </xf>
    <xf numFmtId="164" fontId="31" fillId="0" borderId="0" xfId="28" applyNumberFormat="1" applyFont="1" applyAlignment="1" applyProtection="1">
      <alignment vertical="top" wrapText="1"/>
      <protection hidden="1"/>
    </xf>
    <xf numFmtId="164" fontId="16" fillId="0" borderId="0" xfId="0" applyNumberFormat="1" applyFont="1" applyAlignment="1">
      <alignment vertical="top" wrapText="1"/>
    </xf>
    <xf numFmtId="0" fontId="45" fillId="0" borderId="17" xfId="0" applyFont="1" applyBorder="1" applyAlignment="1" applyProtection="1">
      <alignment horizontal="center" vertical="center" wrapText="1"/>
      <protection hidden="1"/>
    </xf>
    <xf numFmtId="0" fontId="69" fillId="0" borderId="0" xfId="0" applyFont="1" applyAlignment="1" applyProtection="1">
      <alignment vertical="top" wrapText="1"/>
      <protection hidden="1"/>
    </xf>
    <xf numFmtId="0" fontId="69" fillId="0" borderId="0" xfId="0" applyFont="1" applyBorder="1" applyAlignment="1" applyProtection="1">
      <alignment vertical="top" wrapText="1"/>
      <protection hidden="1"/>
    </xf>
    <xf numFmtId="0" fontId="67" fillId="0" borderId="0" xfId="0" applyFont="1" applyAlignment="1">
      <alignment horizontal="left"/>
    </xf>
    <xf numFmtId="0" fontId="14" fillId="0" borderId="6" xfId="0" applyFont="1" applyBorder="1" applyAlignment="1" applyProtection="1">
      <alignment horizontal="center" vertical="center" wrapText="1"/>
      <protection locked="0"/>
    </xf>
    <xf numFmtId="0" fontId="71" fillId="0" borderId="18" xfId="42" applyFont="1" applyFill="1" applyBorder="1" applyAlignment="1" applyProtection="1">
      <alignment horizontal="center" vertical="center"/>
      <protection hidden="1"/>
    </xf>
    <xf numFmtId="0" fontId="71" fillId="0" borderId="0" xfId="42" applyFont="1" applyFill="1" applyBorder="1" applyAlignment="1" applyProtection="1">
      <alignment horizontal="center" vertical="center"/>
      <protection hidden="1"/>
    </xf>
    <xf numFmtId="0" fontId="72" fillId="0" borderId="19" xfId="42" applyFont="1" applyFill="1" applyBorder="1" applyAlignment="1" applyProtection="1">
      <alignment vertical="center"/>
      <protection hidden="1"/>
    </xf>
    <xf numFmtId="0" fontId="71" fillId="0" borderId="0" xfId="42" applyFont="1" applyFill="1" applyBorder="1" applyAlignment="1" applyProtection="1">
      <alignment vertical="center"/>
      <protection hidden="1"/>
    </xf>
    <xf numFmtId="0" fontId="71" fillId="0" borderId="19" xfId="42" applyFont="1" applyFill="1" applyBorder="1" applyAlignment="1" applyProtection="1">
      <alignment vertical="center"/>
      <protection hidden="1"/>
    </xf>
    <xf numFmtId="0" fontId="71" fillId="0" borderId="0" xfId="42" applyFont="1" applyAlignment="1" applyProtection="1">
      <alignment vertical="center"/>
      <protection hidden="1"/>
    </xf>
    <xf numFmtId="0" fontId="73" fillId="0" borderId="0" xfId="42" applyFont="1" applyFill="1" applyBorder="1" applyAlignment="1" applyProtection="1">
      <alignment vertical="center"/>
      <protection hidden="1"/>
    </xf>
    <xf numFmtId="0" fontId="72" fillId="0" borderId="0" xfId="42" applyFont="1" applyFill="1" applyBorder="1" applyAlignment="1" applyProtection="1">
      <alignment vertical="center"/>
      <protection hidden="1"/>
    </xf>
    <xf numFmtId="0" fontId="71" fillId="0" borderId="0" xfId="42" applyFont="1" applyBorder="1" applyAlignment="1" applyProtection="1">
      <alignment vertical="center"/>
      <protection hidden="1"/>
    </xf>
    <xf numFmtId="0" fontId="74" fillId="0" borderId="0" xfId="42" applyFont="1" applyFill="1" applyBorder="1" applyAlignment="1" applyProtection="1">
      <alignment horizontal="center" vertical="center" textRotation="90"/>
      <protection hidden="1"/>
    </xf>
    <xf numFmtId="0" fontId="71" fillId="0" borderId="19" xfId="42" applyFont="1" applyBorder="1" applyAlignment="1" applyProtection="1">
      <alignment vertical="center"/>
      <protection hidden="1"/>
    </xf>
    <xf numFmtId="0" fontId="71" fillId="0" borderId="20" xfId="42" applyFont="1" applyFill="1" applyBorder="1" applyAlignment="1" applyProtection="1">
      <alignment vertical="center"/>
      <protection hidden="1"/>
    </xf>
    <xf numFmtId="0" fontId="73" fillId="0" borderId="0" xfId="42" applyFont="1" applyAlignment="1" applyProtection="1">
      <alignment vertical="center"/>
      <protection hidden="1"/>
    </xf>
    <xf numFmtId="0" fontId="13" fillId="0" borderId="7" xfId="0" applyFont="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0" fontId="8" fillId="0" borderId="0" xfId="0" applyFont="1" applyAlignment="1" applyProtection="1">
      <alignment vertical="center" wrapText="1"/>
      <protection hidden="1"/>
    </xf>
    <xf numFmtId="0" fontId="8" fillId="0" borderId="7" xfId="0" applyFont="1" applyBorder="1" applyAlignment="1" applyProtection="1">
      <alignment horizontal="center" vertical="center" wrapText="1"/>
      <protection hidden="1"/>
    </xf>
    <xf numFmtId="0" fontId="13" fillId="0" borderId="7" xfId="0" applyFont="1" applyBorder="1" applyAlignment="1" applyProtection="1">
      <alignment horizontal="right" vertical="center"/>
      <protection hidden="1"/>
    </xf>
    <xf numFmtId="0" fontId="70" fillId="0" borderId="0" xfId="0" applyFont="1" applyAlignment="1">
      <alignment vertical="center" wrapText="1"/>
    </xf>
    <xf numFmtId="0" fontId="70" fillId="0" borderId="6" xfId="0" applyFont="1" applyBorder="1" applyAlignment="1" applyProtection="1">
      <alignment horizontal="center" vertical="center" wrapText="1"/>
      <protection hidden="1"/>
    </xf>
    <xf numFmtId="0" fontId="70" fillId="0" borderId="0" xfId="0" applyFont="1" applyAlignment="1">
      <alignment horizontal="center" vertical="center" wrapText="1"/>
    </xf>
    <xf numFmtId="17" fontId="8" fillId="0" borderId="8" xfId="0" applyNumberFormat="1" applyFont="1" applyBorder="1" applyAlignment="1" applyProtection="1">
      <alignment horizontal="center" vertical="center" wrapText="1"/>
      <protection hidden="1"/>
    </xf>
    <xf numFmtId="0" fontId="13" fillId="0" borderId="0" xfId="0" applyFont="1" applyAlignment="1">
      <alignment vertical="center" wrapText="1"/>
    </xf>
    <xf numFmtId="3" fontId="14" fillId="0" borderId="0" xfId="28" applyNumberFormat="1" applyFont="1" applyBorder="1" applyAlignment="1" applyProtection="1">
      <alignment vertical="top" wrapText="1"/>
      <protection hidden="1"/>
    </xf>
    <xf numFmtId="164" fontId="8" fillId="0" borderId="12" xfId="28" applyNumberFormat="1" applyFont="1" applyBorder="1" applyAlignment="1" applyProtection="1">
      <alignment vertical="center" wrapText="1"/>
      <protection locked="0" hidden="1"/>
    </xf>
    <xf numFmtId="164" fontId="8" fillId="0" borderId="6" xfId="28" applyNumberFormat="1" applyFont="1" applyBorder="1" applyAlignment="1" applyProtection="1">
      <alignment vertical="center" wrapText="1"/>
      <protection locked="0" hidden="1"/>
    </xf>
    <xf numFmtId="164" fontId="8" fillId="0" borderId="6" xfId="28" applyNumberFormat="1" applyFont="1" applyBorder="1" applyAlignment="1" applyProtection="1">
      <alignment horizontal="center" vertical="center" wrapText="1"/>
      <protection locked="0" hidden="1"/>
    </xf>
    <xf numFmtId="0" fontId="38" fillId="0" borderId="12" xfId="0" applyFont="1" applyBorder="1" applyAlignment="1" applyProtection="1">
      <alignment vertical="center" wrapText="1"/>
      <protection locked="0" hidden="1"/>
    </xf>
    <xf numFmtId="0" fontId="38" fillId="0" borderId="15" xfId="0" applyFont="1" applyBorder="1" applyAlignment="1" applyProtection="1">
      <alignment vertical="center" wrapText="1"/>
      <protection locked="0" hidden="1"/>
    </xf>
    <xf numFmtId="0" fontId="38" fillId="0" borderId="12" xfId="0" applyFont="1" applyBorder="1" applyAlignment="1" applyProtection="1">
      <alignment horizontal="center" vertical="center" wrapText="1"/>
      <protection locked="0" hidden="1"/>
    </xf>
    <xf numFmtId="0" fontId="35" fillId="0" borderId="28" xfId="0" applyFont="1" applyBorder="1" applyAlignment="1" applyProtection="1">
      <alignment vertical="center" wrapText="1"/>
      <protection locked="0" hidden="1"/>
    </xf>
    <xf numFmtId="0" fontId="35" fillId="0" borderId="31" xfId="0" applyFont="1" applyBorder="1" applyAlignment="1" applyProtection="1">
      <alignment vertical="center" wrapText="1"/>
      <protection locked="0" hidden="1"/>
    </xf>
    <xf numFmtId="0" fontId="35" fillId="0" borderId="32" xfId="0" applyFont="1" applyBorder="1" applyAlignment="1" applyProtection="1">
      <alignment vertical="center" wrapText="1"/>
      <protection locked="0" hidden="1"/>
    </xf>
    <xf numFmtId="0" fontId="41" fillId="0" borderId="0" xfId="0" applyFont="1" applyBorder="1" applyAlignment="1" applyProtection="1">
      <alignment vertical="center" wrapText="1"/>
      <protection locked="0" hidden="1"/>
    </xf>
    <xf numFmtId="0" fontId="41" fillId="0" borderId="7" xfId="0" applyFont="1" applyBorder="1" applyAlignment="1" applyProtection="1">
      <alignment horizontal="center" vertical="center" wrapText="1"/>
      <protection locked="0" hidden="1"/>
    </xf>
    <xf numFmtId="0" fontId="41" fillId="0" borderId="11" xfId="0" applyFont="1" applyBorder="1" applyAlignment="1" applyProtection="1">
      <alignment horizontal="center" vertical="center" wrapText="1"/>
      <protection locked="0" hidden="1"/>
    </xf>
    <xf numFmtId="0" fontId="38" fillId="2" borderId="10" xfId="0" applyFont="1" applyFill="1" applyBorder="1" applyAlignment="1" applyProtection="1">
      <alignment vertical="center" wrapText="1"/>
      <protection locked="0" hidden="1"/>
    </xf>
    <xf numFmtId="0" fontId="14" fillId="0" borderId="2" xfId="0" applyFont="1" applyBorder="1" applyAlignment="1" applyProtection="1">
      <alignment horizontal="center" vertical="top" wrapText="1"/>
      <protection hidden="1"/>
    </xf>
    <xf numFmtId="0" fontId="77" fillId="0" borderId="11" xfId="0" applyFont="1" applyBorder="1" applyAlignment="1">
      <alignment horizontal="left"/>
    </xf>
    <xf numFmtId="0" fontId="16" fillId="0" borderId="8" xfId="0" applyFont="1" applyBorder="1" applyAlignment="1" applyProtection="1">
      <alignment horizontal="center" vertical="top" wrapText="1"/>
      <protection hidden="1"/>
    </xf>
    <xf numFmtId="0" fontId="16" fillId="0" borderId="25" xfId="0" applyFont="1" applyBorder="1" applyAlignment="1" applyProtection="1">
      <alignment horizontal="center" vertical="top" wrapText="1"/>
      <protection hidden="1"/>
    </xf>
    <xf numFmtId="0" fontId="16" fillId="0" borderId="25" xfId="0" applyFont="1" applyBorder="1" applyAlignment="1">
      <alignment vertical="top" wrapText="1"/>
    </xf>
    <xf numFmtId="164" fontId="16" fillId="0" borderId="25" xfId="28" applyNumberFormat="1" applyFont="1" applyBorder="1" applyAlignment="1" applyProtection="1">
      <alignment horizontal="right" vertical="top" wrapText="1"/>
      <protection hidden="1"/>
    </xf>
    <xf numFmtId="164" fontId="16" fillId="0" borderId="25" xfId="28" applyNumberFormat="1" applyFont="1" applyBorder="1" applyAlignment="1" applyProtection="1">
      <alignment vertical="top" wrapText="1"/>
      <protection hidden="1"/>
    </xf>
    <xf numFmtId="164" fontId="16" fillId="0" borderId="33" xfId="28" applyNumberFormat="1" applyFont="1" applyBorder="1" applyAlignment="1" applyProtection="1">
      <alignment vertical="top" wrapText="1"/>
      <protection hidden="1"/>
    </xf>
    <xf numFmtId="0" fontId="77" fillId="0" borderId="0" xfId="0" applyFont="1" applyAlignment="1">
      <alignment horizontal="left"/>
    </xf>
    <xf numFmtId="0" fontId="0" fillId="0" borderId="0" xfId="0" applyAlignment="1">
      <alignment vertical="center"/>
    </xf>
    <xf numFmtId="0" fontId="79" fillId="0" borderId="0" xfId="0" applyFont="1" applyAlignment="1">
      <alignment horizontal="left" vertical="center"/>
    </xf>
    <xf numFmtId="0" fontId="0" fillId="0" borderId="0" xfId="0" applyAlignment="1">
      <alignment horizontal="center" vertical="center"/>
    </xf>
    <xf numFmtId="0" fontId="79" fillId="0" borderId="0" xfId="0" applyFont="1" applyAlignment="1">
      <alignment horizontal="right" vertical="center"/>
    </xf>
    <xf numFmtId="0" fontId="79" fillId="0" borderId="0" xfId="0" applyFont="1"/>
    <xf numFmtId="0" fontId="81" fillId="0" borderId="34" xfId="42" applyFont="1" applyFill="1" applyBorder="1" applyAlignment="1" applyProtection="1">
      <alignment horizontal="center" vertical="center"/>
      <protection hidden="1"/>
    </xf>
    <xf numFmtId="0" fontId="81" fillId="0" borderId="0" xfId="42" applyFont="1" applyFill="1" applyBorder="1" applyAlignment="1" applyProtection="1">
      <alignment horizontal="center" vertical="center"/>
      <protection hidden="1"/>
    </xf>
    <xf numFmtId="0" fontId="14" fillId="0" borderId="0" xfId="42" applyFont="1" applyFill="1" applyBorder="1" applyAlignment="1" applyProtection="1">
      <alignment horizontal="center" vertical="center"/>
      <protection hidden="1"/>
    </xf>
    <xf numFmtId="14" fontId="14" fillId="0" borderId="6" xfId="42" applyNumberFormat="1" applyFont="1" applyFill="1" applyBorder="1" applyAlignment="1" applyProtection="1">
      <alignment horizontal="center" vertical="center"/>
      <protection hidden="1"/>
    </xf>
    <xf numFmtId="0" fontId="16" fillId="0" borderId="0" xfId="42" applyFont="1" applyFill="1" applyBorder="1" applyAlignment="1" applyProtection="1">
      <alignment horizontal="center" vertical="center"/>
      <protection hidden="1"/>
    </xf>
    <xf numFmtId="0" fontId="14" fillId="0" borderId="0" xfId="42" applyFont="1" applyFill="1" applyBorder="1" applyAlignment="1" applyProtection="1">
      <alignment vertical="center"/>
      <protection hidden="1"/>
    </xf>
    <xf numFmtId="0" fontId="81" fillId="0" borderId="35" xfId="42" applyFont="1" applyFill="1" applyBorder="1" applyAlignment="1" applyProtection="1">
      <alignment vertical="center"/>
      <protection hidden="1"/>
    </xf>
    <xf numFmtId="0" fontId="81" fillId="0" borderId="0" xfId="42" applyFont="1" applyFill="1" applyBorder="1" applyAlignment="1" applyProtection="1">
      <alignment vertical="center"/>
      <protection hidden="1"/>
    </xf>
    <xf numFmtId="0" fontId="14" fillId="0" borderId="0" xfId="42" applyFont="1" applyFill="1" applyBorder="1" applyAlignment="1" applyProtection="1">
      <alignment horizontal="right" vertical="center"/>
      <protection hidden="1"/>
    </xf>
    <xf numFmtId="0" fontId="16" fillId="0" borderId="0" xfId="42" applyFont="1" applyFill="1" applyBorder="1" applyAlignment="1" applyProtection="1">
      <alignment vertical="center"/>
      <protection hidden="1"/>
    </xf>
    <xf numFmtId="14" fontId="16" fillId="0" borderId="0" xfId="42" applyNumberFormat="1" applyFont="1" applyFill="1" applyBorder="1" applyAlignment="1" applyProtection="1">
      <alignment horizontal="center" vertical="center"/>
      <protection hidden="1"/>
    </xf>
    <xf numFmtId="0" fontId="16" fillId="0" borderId="0" xfId="42" applyFont="1" applyFill="1" applyBorder="1" applyAlignment="1" applyProtection="1">
      <alignment horizontal="left" vertical="center"/>
      <protection hidden="1"/>
    </xf>
    <xf numFmtId="165" fontId="14" fillId="0" borderId="0" xfId="42" applyNumberFormat="1" applyFont="1" applyFill="1" applyBorder="1" applyAlignment="1" applyProtection="1">
      <alignment horizontal="center" vertical="center"/>
      <protection hidden="1"/>
    </xf>
    <xf numFmtId="14" fontId="14" fillId="0" borderId="0" xfId="42" applyNumberFormat="1" applyFont="1" applyFill="1" applyBorder="1" applyAlignment="1" applyProtection="1">
      <alignment horizontal="center" vertical="center"/>
      <protection hidden="1"/>
    </xf>
    <xf numFmtId="164" fontId="14" fillId="0" borderId="0" xfId="28" applyNumberFormat="1" applyFont="1" applyFill="1" applyBorder="1" applyAlignment="1" applyProtection="1">
      <alignment horizontal="center" vertical="center"/>
      <protection hidden="1"/>
    </xf>
    <xf numFmtId="164" fontId="14" fillId="0" borderId="0" xfId="28" applyNumberFormat="1" applyFont="1" applyFill="1" applyBorder="1" applyAlignment="1" applyProtection="1">
      <alignment horizontal="right" vertical="center"/>
      <protection hidden="1"/>
    </xf>
    <xf numFmtId="0" fontId="1" fillId="0" borderId="0" xfId="0" applyFont="1" applyBorder="1" applyProtection="1">
      <protection hidden="1"/>
    </xf>
    <xf numFmtId="168" fontId="14" fillId="0" borderId="0" xfId="42" applyNumberFormat="1" applyFont="1" applyFill="1" applyBorder="1" applyAlignment="1" applyProtection="1">
      <alignment horizontal="center" vertical="center"/>
      <protection hidden="1"/>
    </xf>
    <xf numFmtId="0" fontId="14" fillId="0" borderId="0" xfId="42" applyFont="1" applyFill="1" applyBorder="1" applyAlignment="1" applyProtection="1">
      <alignment horizontal="left" vertical="center"/>
      <protection hidden="1"/>
    </xf>
    <xf numFmtId="169" fontId="14" fillId="0" borderId="0" xfId="0" applyNumberFormat="1" applyFont="1" applyFill="1" applyBorder="1" applyAlignment="1" applyProtection="1">
      <alignment vertical="center"/>
      <protection hidden="1"/>
    </xf>
    <xf numFmtId="164" fontId="14" fillId="0" borderId="0" xfId="28" applyNumberFormat="1" applyFont="1" applyFill="1" applyBorder="1" applyAlignment="1" applyProtection="1">
      <alignment vertical="center"/>
      <protection hidden="1"/>
    </xf>
    <xf numFmtId="167" fontId="14" fillId="0" borderId="0" xfId="42" applyNumberFormat="1" applyFont="1" applyFill="1" applyBorder="1" applyAlignment="1" applyProtection="1">
      <alignment horizontal="center" vertical="center"/>
      <protection hidden="1"/>
    </xf>
    <xf numFmtId="171" fontId="14" fillId="0" borderId="0" xfId="28" applyNumberFormat="1" applyFont="1" applyFill="1" applyBorder="1" applyAlignment="1" applyProtection="1">
      <alignment horizontal="center" vertical="center"/>
      <protection hidden="1"/>
    </xf>
    <xf numFmtId="166" fontId="14" fillId="0" borderId="0" xfId="42" applyNumberFormat="1" applyFont="1" applyFill="1" applyBorder="1" applyAlignment="1" applyProtection="1">
      <alignment horizontal="center" vertical="center"/>
      <protection hidden="1"/>
    </xf>
    <xf numFmtId="166" fontId="14" fillId="0" borderId="0" xfId="28" applyNumberFormat="1" applyFont="1" applyFill="1" applyBorder="1" applyAlignment="1" applyProtection="1">
      <alignment horizontal="center" vertical="center"/>
      <protection hidden="1"/>
    </xf>
    <xf numFmtId="164" fontId="14" fillId="0" borderId="0" xfId="42"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64" fontId="3" fillId="0" borderId="0" xfId="31" applyNumberFormat="1" applyFont="1" applyBorder="1" applyAlignment="1" applyProtection="1">
      <alignment horizontal="center" vertical="center"/>
      <protection hidden="1"/>
    </xf>
    <xf numFmtId="0" fontId="81" fillId="0" borderId="0" xfId="42" applyFont="1" applyBorder="1" applyAlignment="1" applyProtection="1">
      <alignment vertical="center"/>
      <protection hidden="1"/>
    </xf>
    <xf numFmtId="0" fontId="81" fillId="0" borderId="0" xfId="42" applyFont="1" applyAlignment="1" applyProtection="1">
      <alignment vertical="center"/>
      <protection hidden="1"/>
    </xf>
    <xf numFmtId="0" fontId="14" fillId="0" borderId="0" xfId="42" applyFont="1" applyBorder="1" applyAlignment="1" applyProtection="1">
      <alignment vertical="center"/>
      <protection hidden="1"/>
    </xf>
    <xf numFmtId="168" fontId="101" fillId="37" borderId="21" xfId="42" applyNumberFormat="1" applyFont="1" applyFill="1" applyBorder="1" applyAlignment="1" applyProtection="1">
      <alignment horizontal="center" vertical="center"/>
      <protection locked="0"/>
    </xf>
    <xf numFmtId="0" fontId="104" fillId="38" borderId="0" xfId="42" applyFont="1" applyFill="1" applyBorder="1" applyAlignment="1" applyProtection="1">
      <alignment horizontal="left" vertical="center"/>
      <protection hidden="1"/>
    </xf>
    <xf numFmtId="0" fontId="104" fillId="38" borderId="0" xfId="42" applyFont="1" applyFill="1" applyBorder="1" applyAlignment="1" applyProtection="1">
      <alignment vertical="center"/>
      <protection hidden="1"/>
    </xf>
    <xf numFmtId="0" fontId="75" fillId="0" borderId="37" xfId="38" applyFont="1" applyFill="1" applyBorder="1" applyAlignment="1" applyProtection="1">
      <alignment horizontal="center" vertical="center"/>
    </xf>
    <xf numFmtId="0" fontId="101" fillId="37" borderId="21" xfId="42" applyFont="1" applyFill="1" applyBorder="1" applyAlignment="1" applyProtection="1">
      <alignment vertical="center"/>
      <protection hidden="1"/>
    </xf>
    <xf numFmtId="0" fontId="104" fillId="38" borderId="0" xfId="42" applyFont="1" applyFill="1" applyBorder="1" applyAlignment="1" applyProtection="1">
      <alignment horizontal="right" vertical="center" indent="1"/>
      <protection hidden="1"/>
    </xf>
    <xf numFmtId="164" fontId="101" fillId="37" borderId="21" xfId="28" applyNumberFormat="1" applyFont="1" applyFill="1" applyBorder="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14" fillId="0" borderId="1" xfId="42" applyFont="1" applyFill="1" applyBorder="1" applyAlignment="1" applyProtection="1">
      <alignment horizontal="center" vertical="center"/>
      <protection hidden="1"/>
    </xf>
    <xf numFmtId="14" fontId="14" fillId="0" borderId="2" xfId="42" applyNumberFormat="1" applyFont="1" applyFill="1" applyBorder="1" applyAlignment="1" applyProtection="1">
      <alignment horizontal="center" vertical="center"/>
      <protection hidden="1"/>
    </xf>
    <xf numFmtId="0" fontId="14" fillId="0" borderId="2" xfId="42" applyFont="1" applyFill="1" applyBorder="1" applyAlignment="1" applyProtection="1">
      <alignment vertical="center"/>
      <protection hidden="1"/>
    </xf>
    <xf numFmtId="164" fontId="14" fillId="0" borderId="2" xfId="28" applyNumberFormat="1" applyFont="1" applyFill="1" applyBorder="1" applyAlignment="1" applyProtection="1">
      <alignment horizontal="center" vertical="center"/>
      <protection hidden="1"/>
    </xf>
    <xf numFmtId="164" fontId="14" fillId="0" borderId="2" xfId="28" applyNumberFormat="1" applyFont="1" applyFill="1" applyBorder="1" applyAlignment="1" applyProtection="1">
      <alignment horizontal="right" vertical="center"/>
      <protection hidden="1"/>
    </xf>
    <xf numFmtId="164" fontId="14" fillId="0" borderId="3" xfId="28" applyNumberFormat="1" applyFont="1" applyFill="1" applyBorder="1" applyAlignment="1" applyProtection="1">
      <alignment horizontal="right" vertical="center"/>
      <protection hidden="1"/>
    </xf>
    <xf numFmtId="0" fontId="14" fillId="0" borderId="4" xfId="42" applyFont="1" applyFill="1" applyBorder="1" applyAlignment="1" applyProtection="1">
      <alignment horizontal="center" vertical="center"/>
      <protection hidden="1"/>
    </xf>
    <xf numFmtId="164" fontId="14" fillId="0" borderId="5" xfId="28" applyNumberFormat="1" applyFont="1" applyFill="1" applyBorder="1" applyAlignment="1" applyProtection="1">
      <alignment horizontal="right" vertical="center"/>
      <protection hidden="1"/>
    </xf>
    <xf numFmtId="0" fontId="14" fillId="0" borderId="11" xfId="42" applyFont="1" applyFill="1" applyBorder="1" applyAlignment="1" applyProtection="1">
      <alignment horizontal="center" vertical="center"/>
      <protection hidden="1"/>
    </xf>
    <xf numFmtId="14" fontId="14" fillId="0" borderId="7" xfId="42" applyNumberFormat="1" applyFont="1" applyFill="1" applyBorder="1" applyAlignment="1" applyProtection="1">
      <alignment horizontal="center" vertical="center"/>
      <protection hidden="1"/>
    </xf>
    <xf numFmtId="0" fontId="14" fillId="0" borderId="7" xfId="42" applyFont="1" applyFill="1" applyBorder="1" applyAlignment="1" applyProtection="1">
      <alignment vertical="center"/>
      <protection hidden="1"/>
    </xf>
    <xf numFmtId="164" fontId="14" fillId="0" borderId="7" xfId="28" applyNumberFormat="1" applyFont="1" applyFill="1" applyBorder="1" applyAlignment="1" applyProtection="1">
      <alignment horizontal="center" vertical="center"/>
      <protection hidden="1"/>
    </xf>
    <xf numFmtId="164" fontId="14" fillId="0" borderId="7" xfId="28" applyNumberFormat="1" applyFont="1" applyFill="1" applyBorder="1" applyAlignment="1" applyProtection="1">
      <alignment horizontal="right" vertical="center"/>
      <protection hidden="1"/>
    </xf>
    <xf numFmtId="164" fontId="14" fillId="0" borderId="15" xfId="28" applyNumberFormat="1" applyFont="1" applyFill="1" applyBorder="1" applyAlignment="1" applyProtection="1">
      <alignment horizontal="right" vertical="center"/>
      <protection hidden="1"/>
    </xf>
    <xf numFmtId="0" fontId="107" fillId="38" borderId="0" xfId="42" applyFont="1" applyFill="1" applyBorder="1" applyAlignment="1" applyProtection="1">
      <alignment horizontal="right" vertical="center" indent="1"/>
      <protection hidden="1"/>
    </xf>
    <xf numFmtId="168" fontId="101" fillId="37" borderId="0" xfId="42" applyNumberFormat="1" applyFont="1" applyFill="1" applyBorder="1" applyAlignment="1" applyProtection="1">
      <alignment horizontal="center" vertical="center"/>
      <protection locked="0"/>
    </xf>
    <xf numFmtId="0" fontId="101" fillId="37" borderId="0" xfId="42" applyNumberFormat="1" applyFont="1" applyFill="1" applyBorder="1" applyAlignment="1" applyProtection="1">
      <alignment vertical="center"/>
      <protection locked="0"/>
    </xf>
    <xf numFmtId="0" fontId="104" fillId="38" borderId="83" xfId="42" applyFont="1" applyFill="1" applyBorder="1" applyAlignment="1" applyProtection="1">
      <alignment horizontal="right" vertical="center" indent="1"/>
      <protection hidden="1"/>
    </xf>
    <xf numFmtId="0" fontId="104" fillId="38" borderId="84" xfId="42" applyFont="1" applyFill="1" applyBorder="1" applyAlignment="1" applyProtection="1">
      <alignment horizontal="center" vertical="center"/>
      <protection hidden="1"/>
    </xf>
    <xf numFmtId="168" fontId="101" fillId="37" borderId="23" xfId="42" applyNumberFormat="1" applyFont="1" applyFill="1" applyBorder="1" applyAlignment="1" applyProtection="1">
      <alignment horizontal="center" vertical="center"/>
      <protection locked="0"/>
    </xf>
    <xf numFmtId="165" fontId="14" fillId="0" borderId="0" xfId="42" applyNumberFormat="1" applyFont="1" applyFill="1" applyBorder="1" applyAlignment="1" applyProtection="1">
      <alignment horizontal="right" vertical="center"/>
      <protection hidden="1"/>
    </xf>
    <xf numFmtId="0" fontId="104" fillId="38" borderId="86" xfId="42" applyFont="1" applyFill="1" applyBorder="1" applyAlignment="1" applyProtection="1">
      <alignment horizontal="center" vertical="center"/>
      <protection hidden="1"/>
    </xf>
    <xf numFmtId="0" fontId="104" fillId="38" borderId="83" xfId="42" applyFont="1" applyFill="1" applyBorder="1" applyAlignment="1" applyProtection="1">
      <alignment horizontal="center" vertical="center"/>
      <protection hidden="1"/>
    </xf>
    <xf numFmtId="0" fontId="104" fillId="38" borderId="0" xfId="42" applyFont="1" applyFill="1" applyBorder="1" applyAlignment="1" applyProtection="1">
      <alignment horizontal="left" vertical="center" indent="1"/>
      <protection hidden="1"/>
    </xf>
    <xf numFmtId="14" fontId="71" fillId="0" borderId="0" xfId="42" applyNumberFormat="1" applyFont="1" applyFill="1" applyBorder="1" applyAlignment="1" applyProtection="1">
      <alignment vertical="center"/>
      <protection hidden="1"/>
    </xf>
    <xf numFmtId="0" fontId="31" fillId="0" borderId="0" xfId="0" applyFont="1" applyAlignment="1" applyProtection="1">
      <alignment horizontal="left" vertical="center"/>
      <protection hidden="1"/>
    </xf>
    <xf numFmtId="0" fontId="109" fillId="0" borderId="0" xfId="52" applyFont="1" applyBorder="1" applyProtection="1">
      <protection hidden="1"/>
    </xf>
    <xf numFmtId="169" fontId="109" fillId="0" borderId="0" xfId="52" applyNumberFormat="1" applyFont="1" applyBorder="1" applyAlignment="1" applyProtection="1">
      <alignment vertical="center"/>
      <protection hidden="1"/>
    </xf>
    <xf numFmtId="0" fontId="109" fillId="0" borderId="0" xfId="52" applyFont="1" applyBorder="1" applyAlignment="1" applyProtection="1">
      <alignment vertical="center"/>
      <protection hidden="1"/>
    </xf>
    <xf numFmtId="0" fontId="109" fillId="39" borderId="89" xfId="28" applyNumberFormat="1" applyFont="1" applyFill="1" applyBorder="1" applyAlignment="1" applyProtection="1">
      <alignment horizontal="center" vertical="top" wrapText="1"/>
      <protection hidden="1"/>
    </xf>
    <xf numFmtId="0" fontId="109" fillId="39" borderId="87" xfId="28" applyNumberFormat="1" applyFont="1" applyFill="1" applyBorder="1" applyAlignment="1" applyProtection="1">
      <alignment horizontal="center" vertical="top" wrapText="1"/>
      <protection hidden="1"/>
    </xf>
    <xf numFmtId="0" fontId="109" fillId="39" borderId="92" xfId="28" applyNumberFormat="1" applyFont="1" applyFill="1" applyBorder="1" applyAlignment="1" applyProtection="1">
      <alignment horizontal="center" vertical="top" wrapText="1"/>
      <protection hidden="1"/>
    </xf>
    <xf numFmtId="169" fontId="109" fillId="39" borderId="93" xfId="52" applyNumberFormat="1" applyFont="1" applyFill="1" applyBorder="1" applyAlignment="1" applyProtection="1">
      <alignment vertical="top" wrapText="1"/>
      <protection hidden="1"/>
    </xf>
    <xf numFmtId="169" fontId="109" fillId="39" borderId="88" xfId="52" applyNumberFormat="1" applyFont="1" applyFill="1" applyBorder="1" applyAlignment="1" applyProtection="1">
      <alignment vertical="top" wrapText="1"/>
      <protection hidden="1"/>
    </xf>
    <xf numFmtId="169" fontId="109" fillId="0" borderId="88" xfId="52" applyNumberFormat="1" applyFont="1" applyBorder="1" applyAlignment="1" applyProtection="1">
      <alignment vertical="top" wrapText="1"/>
      <protection hidden="1"/>
    </xf>
    <xf numFmtId="169" fontId="109" fillId="39" borderId="90" xfId="52" applyNumberFormat="1" applyFont="1" applyFill="1" applyBorder="1" applyAlignment="1" applyProtection="1">
      <alignment vertical="top" wrapText="1"/>
      <protection hidden="1"/>
    </xf>
    <xf numFmtId="43" fontId="109" fillId="0" borderId="0" xfId="28" applyFont="1" applyFill="1" applyBorder="1" applyProtection="1">
      <protection hidden="1"/>
    </xf>
    <xf numFmtId="0" fontId="115" fillId="0" borderId="0" xfId="46" applyFont="1" applyFill="1" applyProtection="1">
      <protection hidden="1"/>
    </xf>
    <xf numFmtId="164" fontId="109" fillId="0" borderId="0" xfId="30" applyNumberFormat="1" applyFont="1" applyFill="1" applyBorder="1" applyProtection="1">
      <protection hidden="1"/>
    </xf>
    <xf numFmtId="0" fontId="109" fillId="0" borderId="0" xfId="46" applyFont="1" applyFill="1" applyBorder="1" applyProtection="1">
      <protection hidden="1"/>
    </xf>
    <xf numFmtId="0" fontId="109" fillId="0" borderId="0" xfId="0" applyFont="1" applyFill="1" applyBorder="1" applyAlignment="1" applyProtection="1">
      <alignment vertical="center" wrapText="1"/>
      <protection hidden="1"/>
    </xf>
    <xf numFmtId="0" fontId="114" fillId="39" borderId="87" xfId="28" applyNumberFormat="1" applyFont="1" applyFill="1" applyBorder="1" applyAlignment="1" applyProtection="1">
      <alignment horizontal="center" vertical="top" wrapText="1"/>
      <protection hidden="1"/>
    </xf>
    <xf numFmtId="169" fontId="114" fillId="39" borderId="88" xfId="52" applyNumberFormat="1" applyFont="1" applyFill="1" applyBorder="1" applyAlignment="1" applyProtection="1">
      <alignment vertical="top" wrapText="1"/>
      <protection hidden="1"/>
    </xf>
    <xf numFmtId="0" fontId="70" fillId="0" borderId="13"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locked="0" hidden="1"/>
    </xf>
    <xf numFmtId="0" fontId="41" fillId="0" borderId="12" xfId="0" applyFont="1" applyBorder="1" applyAlignment="1" applyProtection="1">
      <alignment horizontal="center" vertical="center" wrapText="1"/>
      <protection locked="0" hidden="1"/>
    </xf>
    <xf numFmtId="164" fontId="101" fillId="37" borderId="23" xfId="28" applyNumberFormat="1" applyFont="1" applyFill="1" applyBorder="1" applyAlignment="1" applyProtection="1">
      <alignment horizontal="center" vertical="center"/>
      <protection locked="0"/>
    </xf>
    <xf numFmtId="0" fontId="101" fillId="37" borderId="23" xfId="42" applyFont="1" applyFill="1" applyBorder="1" applyAlignment="1" applyProtection="1">
      <alignment horizontal="center" vertical="center"/>
      <protection locked="0"/>
    </xf>
    <xf numFmtId="164" fontId="14" fillId="0" borderId="0" xfId="28" applyNumberFormat="1" applyFont="1" applyBorder="1" applyAlignment="1" applyProtection="1">
      <alignment horizontal="left" vertical="top" wrapText="1" indent="2"/>
      <protection hidden="1"/>
    </xf>
    <xf numFmtId="0" fontId="75" fillId="0" borderId="0" xfId="38" applyFont="1" applyFill="1" applyBorder="1" applyAlignment="1" applyProtection="1">
      <alignment horizontal="center" vertical="center"/>
    </xf>
    <xf numFmtId="164" fontId="81" fillId="0" borderId="0" xfId="42" applyNumberFormat="1" applyFont="1" applyFill="1" applyBorder="1" applyAlignment="1" applyProtection="1">
      <alignment vertical="center"/>
      <protection hidden="1"/>
    </xf>
    <xf numFmtId="0" fontId="1" fillId="0" borderId="0" xfId="0" applyFont="1" applyAlignment="1" applyProtection="1">
      <alignment vertical="center"/>
      <protection locked="0" hidden="1"/>
    </xf>
    <xf numFmtId="0" fontId="51" fillId="0" borderId="0" xfId="0" applyFont="1" applyBorder="1" applyAlignment="1" applyProtection="1">
      <alignment horizontal="center" vertical="center" textRotation="90" wrapText="1"/>
      <protection locked="0" hidden="1"/>
    </xf>
    <xf numFmtId="0" fontId="52" fillId="0" borderId="0" xfId="0" applyFont="1" applyBorder="1" applyAlignment="1" applyProtection="1">
      <alignment horizontal="center" vertical="center" wrapText="1"/>
      <protection locked="0" hidden="1"/>
    </xf>
    <xf numFmtId="0" fontId="38" fillId="0" borderId="24" xfId="0" applyFont="1" applyBorder="1" applyAlignment="1" applyProtection="1">
      <alignment horizontal="center" vertical="center" wrapText="1"/>
      <protection locked="0" hidden="1"/>
    </xf>
    <xf numFmtId="0" fontId="49" fillId="0" borderId="11" xfId="0" applyFont="1" applyBorder="1" applyAlignment="1" applyProtection="1">
      <alignment horizontal="center" vertical="center"/>
      <protection locked="0" hidden="1"/>
    </xf>
    <xf numFmtId="0" fontId="49" fillId="0" borderId="7" xfId="0" applyFont="1" applyBorder="1" applyAlignment="1" applyProtection="1">
      <alignment horizontal="center" vertical="center"/>
      <protection locked="0" hidden="1"/>
    </xf>
    <xf numFmtId="0" fontId="38" fillId="0" borderId="25" xfId="0" applyFont="1" applyBorder="1" applyAlignment="1" applyProtection="1">
      <alignment vertical="center" wrapText="1"/>
      <protection locked="0" hidden="1"/>
    </xf>
    <xf numFmtId="0" fontId="38" fillId="0" borderId="26" xfId="0" applyFont="1" applyBorder="1" applyAlignment="1" applyProtection="1">
      <alignment vertical="center" wrapText="1"/>
      <protection locked="0" hidden="1"/>
    </xf>
    <xf numFmtId="0" fontId="39" fillId="0" borderId="2" xfId="0" applyFont="1" applyBorder="1" applyAlignment="1" applyProtection="1">
      <alignment vertical="center" wrapText="1"/>
      <protection locked="0" hidden="1"/>
    </xf>
    <xf numFmtId="0" fontId="39" fillId="0" borderId="16" xfId="0" applyFont="1" applyBorder="1" applyAlignment="1" applyProtection="1">
      <alignment vertical="center" wrapText="1"/>
      <protection locked="0" hidden="1"/>
    </xf>
    <xf numFmtId="0" fontId="39" fillId="0" borderId="7" xfId="0" applyFont="1" applyBorder="1" applyAlignment="1" applyProtection="1">
      <alignment vertical="center" wrapText="1"/>
      <protection locked="0" hidden="1"/>
    </xf>
    <xf numFmtId="0" fontId="39" fillId="0" borderId="17" xfId="0" applyFont="1" applyBorder="1" applyAlignment="1" applyProtection="1">
      <alignment vertical="center" wrapText="1"/>
      <protection locked="0" hidden="1"/>
    </xf>
    <xf numFmtId="0" fontId="38" fillId="0" borderId="1" xfId="0" applyFont="1" applyBorder="1" applyAlignment="1" applyProtection="1">
      <alignment vertical="center" wrapText="1"/>
      <protection locked="0" hidden="1"/>
    </xf>
    <xf numFmtId="0" fontId="38" fillId="0" borderId="2" xfId="0" applyFont="1" applyBorder="1" applyAlignment="1" applyProtection="1">
      <alignment vertical="center" wrapText="1"/>
      <protection locked="0" hidden="1"/>
    </xf>
    <xf numFmtId="0" fontId="38" fillId="0" borderId="3" xfId="0" applyFont="1" applyBorder="1" applyAlignment="1" applyProtection="1">
      <alignment vertical="center" wrapText="1"/>
      <protection locked="0" hidden="1"/>
    </xf>
    <xf numFmtId="0" fontId="37" fillId="0" borderId="2" xfId="0" applyFont="1" applyBorder="1" applyAlignment="1" applyProtection="1">
      <alignment vertical="center" wrapText="1"/>
      <protection locked="0" hidden="1"/>
    </xf>
    <xf numFmtId="0" fontId="37" fillId="0" borderId="16" xfId="0" applyFont="1" applyBorder="1" applyAlignment="1" applyProtection="1">
      <alignment vertical="center" wrapText="1"/>
      <protection locked="0" hidden="1"/>
    </xf>
    <xf numFmtId="0" fontId="1" fillId="0" borderId="2" xfId="0" applyFont="1" applyBorder="1" applyAlignment="1" applyProtection="1">
      <alignment vertical="center"/>
      <protection locked="0" hidden="1"/>
    </xf>
    <xf numFmtId="0" fontId="37" fillId="0" borderId="0" xfId="0" applyFont="1" applyBorder="1" applyAlignment="1" applyProtection="1">
      <alignment vertical="center" wrapText="1"/>
      <protection locked="0" hidden="1"/>
    </xf>
    <xf numFmtId="0" fontId="37" fillId="0" borderId="27" xfId="0" applyFont="1" applyBorder="1" applyAlignment="1" applyProtection="1">
      <alignment vertical="center" wrapText="1"/>
      <protection locked="0" hidden="1"/>
    </xf>
    <xf numFmtId="0" fontId="1" fillId="0" borderId="0" xfId="0" applyFont="1" applyBorder="1" applyAlignment="1" applyProtection="1">
      <alignment vertical="center"/>
      <protection locked="0" hidden="1"/>
    </xf>
    <xf numFmtId="0" fontId="37" fillId="0" borderId="28" xfId="0" applyFont="1" applyBorder="1" applyAlignment="1" applyProtection="1">
      <alignment vertical="center" wrapText="1"/>
      <protection locked="0" hidden="1"/>
    </xf>
    <xf numFmtId="0" fontId="37" fillId="0" borderId="29" xfId="0" applyFont="1" applyBorder="1" applyAlignment="1" applyProtection="1">
      <alignment vertical="center" wrapText="1"/>
      <protection locked="0" hidden="1"/>
    </xf>
    <xf numFmtId="0" fontId="1" fillId="0" borderId="7" xfId="0" applyFont="1" applyBorder="1" applyAlignment="1" applyProtection="1">
      <alignment vertical="center"/>
      <protection locked="0" hidden="1"/>
    </xf>
    <xf numFmtId="0" fontId="1" fillId="0" borderId="4" xfId="0" applyFont="1" applyBorder="1" applyAlignment="1" applyProtection="1">
      <alignment vertical="center"/>
      <protection locked="0" hidden="1"/>
    </xf>
    <xf numFmtId="0" fontId="1" fillId="0" borderId="5" xfId="0" applyFont="1" applyBorder="1" applyAlignment="1" applyProtection="1">
      <alignment vertical="center"/>
      <protection locked="0" hidden="1"/>
    </xf>
    <xf numFmtId="0" fontId="38" fillId="0" borderId="6" xfId="0" applyFont="1" applyBorder="1" applyAlignment="1" applyProtection="1">
      <alignment vertical="center" wrapText="1"/>
      <protection locked="0" hidden="1"/>
    </xf>
    <xf numFmtId="0" fontId="38" fillId="0" borderId="30" xfId="0" applyFont="1" applyBorder="1" applyAlignment="1" applyProtection="1">
      <alignment vertical="center" wrapText="1"/>
      <protection locked="0" hidden="1"/>
    </xf>
    <xf numFmtId="0" fontId="35" fillId="0" borderId="0" xfId="0" applyFont="1" applyBorder="1" applyAlignment="1" applyProtection="1">
      <alignment vertical="center" wrapText="1"/>
      <protection locked="0" hidden="1"/>
    </xf>
    <xf numFmtId="0" fontId="1" fillId="0" borderId="0" xfId="0" applyFont="1" applyAlignment="1" applyProtection="1">
      <alignment horizontal="left" vertical="center"/>
      <protection locked="0" hidden="1"/>
    </xf>
    <xf numFmtId="0" fontId="62" fillId="0" borderId="0" xfId="0" applyFont="1" applyAlignment="1" applyProtection="1">
      <alignment vertical="center"/>
      <protection locked="0" hidden="1"/>
    </xf>
    <xf numFmtId="0" fontId="109" fillId="0" borderId="0" xfId="52" applyFont="1" applyFill="1" applyBorder="1" applyAlignment="1" applyProtection="1">
      <alignment vertical="center"/>
      <protection hidden="1"/>
    </xf>
    <xf numFmtId="0" fontId="104" fillId="38" borderId="82" xfId="42" applyFont="1" applyFill="1" applyBorder="1" applyAlignment="1" applyProtection="1">
      <alignment horizontal="right" vertical="center" indent="1"/>
      <protection hidden="1"/>
    </xf>
    <xf numFmtId="168" fontId="101" fillId="37" borderId="97" xfId="42" applyNumberFormat="1" applyFont="1" applyFill="1" applyBorder="1" applyAlignment="1" applyProtection="1">
      <alignment horizontal="center" vertical="center"/>
      <protection locked="0"/>
    </xf>
    <xf numFmtId="164" fontId="101" fillId="37" borderId="101" xfId="28" applyNumberFormat="1" applyFont="1" applyFill="1" applyBorder="1" applyAlignment="1" applyProtection="1">
      <alignment vertical="center"/>
      <protection locked="0"/>
    </xf>
    <xf numFmtId="164" fontId="101" fillId="37" borderId="102" xfId="28" applyNumberFormat="1" applyFont="1" applyFill="1" applyBorder="1" applyAlignment="1" applyProtection="1">
      <alignment vertical="center"/>
      <protection locked="0"/>
    </xf>
    <xf numFmtId="0" fontId="103" fillId="36" borderId="95" xfId="42" applyFont="1" applyFill="1" applyBorder="1" applyAlignment="1" applyProtection="1">
      <alignment vertical="center"/>
      <protection hidden="1"/>
    </xf>
    <xf numFmtId="164" fontId="101" fillId="37" borderId="101" xfId="28" applyNumberFormat="1" applyFont="1" applyFill="1" applyBorder="1" applyAlignment="1" applyProtection="1">
      <alignment horizontal="center" vertical="center"/>
      <protection locked="0"/>
    </xf>
    <xf numFmtId="0" fontId="103" fillId="36" borderId="85" xfId="42" applyFont="1" applyFill="1" applyBorder="1" applyAlignment="1" applyProtection="1">
      <alignment vertical="center"/>
      <protection hidden="1"/>
    </xf>
    <xf numFmtId="164" fontId="101" fillId="37" borderId="102" xfId="28" applyNumberFormat="1" applyFont="1" applyFill="1" applyBorder="1" applyAlignment="1" applyProtection="1">
      <alignment horizontal="center" vertical="center"/>
      <protection locked="0"/>
    </xf>
    <xf numFmtId="0" fontId="103" fillId="36" borderId="98" xfId="42" applyFont="1" applyFill="1" applyBorder="1" applyAlignment="1" applyProtection="1">
      <alignment vertical="center"/>
      <protection hidden="1"/>
    </xf>
    <xf numFmtId="0" fontId="104" fillId="38" borderId="83" xfId="42" applyFont="1" applyFill="1" applyBorder="1" applyAlignment="1" applyProtection="1">
      <alignment horizontal="left" vertical="center" indent="1"/>
      <protection hidden="1"/>
    </xf>
    <xf numFmtId="164" fontId="101" fillId="37" borderId="100" xfId="28" applyNumberFormat="1" applyFont="1" applyFill="1" applyBorder="1" applyAlignment="1" applyProtection="1">
      <alignment horizontal="center" vertical="center"/>
      <protection locked="0"/>
    </xf>
    <xf numFmtId="164" fontId="100" fillId="37" borderId="103" xfId="28" applyNumberFormat="1" applyFont="1" applyFill="1" applyBorder="1" applyAlignment="1" applyProtection="1">
      <alignment vertical="center"/>
      <protection locked="0"/>
    </xf>
    <xf numFmtId="0" fontId="101" fillId="37" borderId="104" xfId="42" applyFont="1" applyFill="1" applyBorder="1" applyAlignment="1" applyProtection="1">
      <alignment horizontal="center" vertical="center"/>
      <protection locked="0"/>
    </xf>
    <xf numFmtId="0" fontId="101" fillId="37" borderId="102" xfId="42" applyNumberFormat="1" applyFont="1" applyFill="1" applyBorder="1" applyAlignment="1" applyProtection="1">
      <alignment vertical="center"/>
      <protection locked="0"/>
    </xf>
    <xf numFmtId="164" fontId="101" fillId="37" borderId="104" xfId="28" applyNumberFormat="1" applyFont="1" applyFill="1" applyBorder="1" applyAlignment="1" applyProtection="1">
      <alignment horizontal="center" vertical="center"/>
      <protection locked="0"/>
    </xf>
    <xf numFmtId="0" fontId="104" fillId="38" borderId="106" xfId="42" applyFont="1" applyFill="1" applyBorder="1" applyAlignment="1" applyProtection="1">
      <alignment horizontal="center" vertical="center"/>
      <protection hidden="1"/>
    </xf>
    <xf numFmtId="164" fontId="101" fillId="37" borderId="107" xfId="28" applyNumberFormat="1" applyFont="1" applyFill="1" applyBorder="1" applyAlignment="1" applyProtection="1">
      <alignment horizontal="center" vertical="center"/>
      <protection locked="0"/>
    </xf>
    <xf numFmtId="168" fontId="101" fillId="37" borderId="83" xfId="42" applyNumberFormat="1" applyFont="1" applyFill="1" applyBorder="1" applyAlignment="1" applyProtection="1">
      <alignment horizontal="center" vertical="center"/>
      <protection hidden="1"/>
    </xf>
    <xf numFmtId="0" fontId="101" fillId="37" borderId="83" xfId="42" applyNumberFormat="1" applyFont="1" applyFill="1" applyBorder="1" applyAlignment="1" applyProtection="1">
      <alignment vertical="center"/>
      <protection hidden="1"/>
    </xf>
    <xf numFmtId="164" fontId="101" fillId="37" borderId="108" xfId="28" applyNumberFormat="1" applyFont="1" applyFill="1" applyBorder="1" applyAlignment="1" applyProtection="1">
      <alignment horizontal="center" vertical="center"/>
      <protection locked="0"/>
    </xf>
    <xf numFmtId="164" fontId="101" fillId="37" borderId="102" xfId="28" applyNumberFormat="1" applyFont="1" applyFill="1" applyBorder="1" applyAlignment="1" applyProtection="1">
      <alignment vertical="center"/>
      <protection hidden="1"/>
    </xf>
    <xf numFmtId="164" fontId="101" fillId="37" borderId="100" xfId="28" applyNumberFormat="1" applyFont="1" applyFill="1" applyBorder="1" applyAlignment="1" applyProtection="1">
      <alignment vertical="center"/>
      <protection hidden="1"/>
    </xf>
    <xf numFmtId="0" fontId="104" fillId="38" borderId="82" xfId="42" applyFont="1" applyFill="1" applyBorder="1" applyAlignment="1" applyProtection="1">
      <alignment horizontal="left" vertical="center" indent="1"/>
      <protection hidden="1"/>
    </xf>
    <xf numFmtId="0" fontId="104" fillId="38" borderId="96" xfId="42" applyFont="1" applyFill="1" applyBorder="1" applyAlignment="1" applyProtection="1">
      <alignment horizontal="right" vertical="center" indent="1"/>
      <protection hidden="1"/>
    </xf>
    <xf numFmtId="164" fontId="101" fillId="37" borderId="96" xfId="28" applyNumberFormat="1" applyFont="1" applyFill="1" applyBorder="1" applyAlignment="1" applyProtection="1">
      <alignment horizontal="center" vertical="center" wrapText="1"/>
      <protection hidden="1"/>
    </xf>
    <xf numFmtId="164" fontId="101" fillId="37" borderId="104" xfId="28" applyNumberFormat="1" applyFont="1" applyFill="1" applyBorder="1" applyAlignment="1" applyProtection="1">
      <alignment horizontal="center" vertical="center" wrapText="1"/>
      <protection hidden="1"/>
    </xf>
    <xf numFmtId="164" fontId="101" fillId="37" borderId="100" xfId="28" applyNumberFormat="1" applyFont="1" applyFill="1" applyBorder="1" applyAlignment="1" applyProtection="1">
      <alignment horizontal="center" vertical="center" wrapText="1"/>
      <protection hidden="1"/>
    </xf>
    <xf numFmtId="0" fontId="104" fillId="38" borderId="0" xfId="42" applyFont="1" applyFill="1" applyBorder="1" applyAlignment="1" applyProtection="1">
      <alignment horizontal="right" vertical="center" indent="1"/>
      <protection locked="0"/>
    </xf>
    <xf numFmtId="0" fontId="101" fillId="37" borderId="23" xfId="42" applyFont="1" applyFill="1" applyBorder="1" applyAlignment="1" applyProtection="1">
      <alignment horizontal="center" vertical="center"/>
      <protection hidden="1"/>
    </xf>
    <xf numFmtId="164" fontId="101" fillId="37" borderId="102" xfId="28" applyNumberFormat="1" applyFont="1" applyFill="1" applyBorder="1" applyAlignment="1" applyProtection="1">
      <alignment horizontal="center" vertical="center"/>
      <protection hidden="1"/>
    </xf>
    <xf numFmtId="0" fontId="101" fillId="37" borderId="84" xfId="42" applyFont="1" applyFill="1" applyBorder="1" applyAlignment="1" applyProtection="1">
      <alignment horizontal="center" vertical="center"/>
      <protection hidden="1"/>
    </xf>
    <xf numFmtId="170" fontId="101" fillId="37" borderId="84" xfId="42" applyNumberFormat="1" applyFont="1" applyFill="1" applyBorder="1" applyAlignment="1" applyProtection="1">
      <alignment horizontal="center" vertical="center"/>
      <protection hidden="1"/>
    </xf>
    <xf numFmtId="164" fontId="101" fillId="37" borderId="100" xfId="28" applyNumberFormat="1" applyFont="1" applyFill="1" applyBorder="1" applyAlignment="1" applyProtection="1">
      <alignment horizontal="center" vertical="center"/>
      <protection hidden="1"/>
    </xf>
    <xf numFmtId="0" fontId="104" fillId="0" borderId="0" xfId="42" applyFont="1" applyFill="1" applyBorder="1" applyAlignment="1" applyProtection="1">
      <alignment horizontal="left" vertical="center"/>
      <protection hidden="1"/>
    </xf>
    <xf numFmtId="0" fontId="104" fillId="38" borderId="0" xfId="42" applyFont="1" applyFill="1" applyBorder="1" applyAlignment="1" applyProtection="1">
      <alignment horizontal="left" vertical="center"/>
      <protection locked="0"/>
    </xf>
    <xf numFmtId="0" fontId="8" fillId="0" borderId="11" xfId="0" applyFont="1" applyBorder="1" applyAlignment="1" applyProtection="1">
      <alignment horizontal="center" vertical="center" wrapText="1"/>
      <protection locked="0" hidden="1"/>
    </xf>
    <xf numFmtId="0" fontId="8" fillId="0" borderId="8" xfId="0" applyFont="1" applyBorder="1" applyAlignment="1" applyProtection="1">
      <alignment horizontal="center" vertical="center" wrapText="1"/>
      <protection locked="0" hidden="1"/>
    </xf>
    <xf numFmtId="164" fontId="8" fillId="0" borderId="6" xfId="28" applyNumberFormat="1" applyFont="1" applyBorder="1" applyAlignment="1" applyProtection="1">
      <alignment horizontal="center" vertical="center" wrapText="1"/>
      <protection hidden="1"/>
    </xf>
    <xf numFmtId="164" fontId="14" fillId="0" borderId="0" xfId="28" applyNumberFormat="1" applyFont="1" applyAlignment="1" applyProtection="1">
      <alignment vertical="top" wrapText="1"/>
      <protection locked="0" hidden="1"/>
    </xf>
    <xf numFmtId="0" fontId="14" fillId="0" borderId="4" xfId="0" applyFont="1" applyBorder="1" applyAlignment="1" applyProtection="1">
      <alignment horizontal="center" vertical="top" wrapText="1"/>
      <protection hidden="1"/>
    </xf>
    <xf numFmtId="0" fontId="118" fillId="0" borderId="0" xfId="0" applyFont="1" applyBorder="1" applyAlignment="1" applyProtection="1">
      <alignment vertical="center"/>
      <protection hidden="1"/>
    </xf>
    <xf numFmtId="0" fontId="119" fillId="0" borderId="0" xfId="0" applyFont="1" applyBorder="1" applyAlignment="1" applyProtection="1">
      <alignment vertical="center"/>
      <protection hidden="1"/>
    </xf>
    <xf numFmtId="164" fontId="8" fillId="0" borderId="12" xfId="28" applyNumberFormat="1" applyFont="1" applyBorder="1" applyAlignment="1" applyProtection="1">
      <alignment horizontal="center" vertical="center" wrapText="1"/>
      <protection locked="0" hidden="1"/>
    </xf>
    <xf numFmtId="0" fontId="112" fillId="41" borderId="91" xfId="52" applyFont="1" applyFill="1" applyBorder="1" applyAlignment="1" applyProtection="1">
      <alignment horizontal="center" vertical="center"/>
      <protection hidden="1"/>
    </xf>
    <xf numFmtId="0" fontId="112" fillId="41" borderId="94" xfId="52" applyFont="1" applyFill="1" applyBorder="1" applyAlignment="1" applyProtection="1">
      <alignment horizontal="center" vertical="center"/>
      <protection hidden="1"/>
    </xf>
    <xf numFmtId="0" fontId="113" fillId="41" borderId="89" xfId="52" applyFont="1" applyFill="1" applyBorder="1" applyAlignment="1" applyProtection="1">
      <alignment horizontal="center" vertical="center"/>
      <protection hidden="1"/>
    </xf>
    <xf numFmtId="0" fontId="113" fillId="41" borderId="93" xfId="52" applyFont="1" applyFill="1" applyBorder="1" applyAlignment="1" applyProtection="1">
      <alignment horizontal="center" vertical="center"/>
      <protection hidden="1"/>
    </xf>
    <xf numFmtId="0" fontId="113" fillId="40" borderId="91" xfId="52" applyFont="1" applyFill="1" applyBorder="1" applyAlignment="1" applyProtection="1">
      <alignment horizontal="center" vertical="center"/>
      <protection hidden="1"/>
    </xf>
    <xf numFmtId="0" fontId="113" fillId="40" borderId="94" xfId="52" applyFont="1" applyFill="1" applyBorder="1" applyAlignment="1" applyProtection="1">
      <alignment horizontal="center" vertical="center"/>
      <protection hidden="1"/>
    </xf>
    <xf numFmtId="169" fontId="109" fillId="0" borderId="0" xfId="52" applyNumberFormat="1" applyFont="1" applyBorder="1" applyAlignment="1" applyProtection="1">
      <alignment horizontal="center" vertical="top"/>
      <protection hidden="1"/>
    </xf>
    <xf numFmtId="0" fontId="113" fillId="41" borderId="91" xfId="52" applyFont="1" applyFill="1" applyBorder="1" applyAlignment="1" applyProtection="1">
      <alignment horizontal="center" vertical="center" wrapText="1"/>
      <protection hidden="1"/>
    </xf>
    <xf numFmtId="0" fontId="113" fillId="41" borderId="94" xfId="52" applyFont="1" applyFill="1" applyBorder="1" applyAlignment="1" applyProtection="1">
      <alignment horizontal="center" vertical="center"/>
      <protection hidden="1"/>
    </xf>
    <xf numFmtId="0" fontId="26" fillId="37" borderId="0" xfId="42" applyFont="1" applyFill="1" applyBorder="1" applyAlignment="1" applyProtection="1">
      <alignment horizontal="left" vertical="center"/>
      <protection locked="0"/>
    </xf>
    <xf numFmtId="0" fontId="26" fillId="37" borderId="97" xfId="42" applyFont="1" applyFill="1" applyBorder="1" applyAlignment="1" applyProtection="1">
      <alignment horizontal="left" vertical="center"/>
      <protection locked="0"/>
    </xf>
    <xf numFmtId="0" fontId="32" fillId="37" borderId="0" xfId="42" applyFont="1" applyFill="1" applyBorder="1" applyAlignment="1" applyProtection="1">
      <alignment horizontal="left" vertical="center"/>
      <protection locked="0"/>
    </xf>
    <xf numFmtId="0" fontId="32" fillId="37" borderId="97" xfId="42" applyFont="1" applyFill="1" applyBorder="1" applyAlignment="1" applyProtection="1">
      <alignment horizontal="left" vertical="center"/>
      <protection locked="0"/>
    </xf>
    <xf numFmtId="0" fontId="32" fillId="37" borderId="83" xfId="42" applyFont="1" applyFill="1" applyBorder="1" applyAlignment="1" applyProtection="1">
      <alignment horizontal="left" vertical="center"/>
      <protection locked="0"/>
    </xf>
    <xf numFmtId="0" fontId="32" fillId="37" borderId="99" xfId="42" applyFont="1" applyFill="1" applyBorder="1" applyAlignment="1" applyProtection="1">
      <alignment horizontal="left" vertical="center"/>
      <protection locked="0"/>
    </xf>
    <xf numFmtId="0" fontId="32" fillId="37" borderId="0" xfId="42" applyFont="1" applyFill="1" applyBorder="1" applyAlignment="1" applyProtection="1">
      <alignment horizontal="center" vertical="center"/>
      <protection locked="0"/>
    </xf>
    <xf numFmtId="0" fontId="32" fillId="37" borderId="97" xfId="42" applyFont="1" applyFill="1" applyBorder="1" applyAlignment="1" applyProtection="1">
      <alignment horizontal="center" vertical="center"/>
      <protection locked="0"/>
    </xf>
    <xf numFmtId="0" fontId="26" fillId="37" borderId="82" xfId="42" applyFont="1" applyFill="1" applyBorder="1" applyAlignment="1" applyProtection="1">
      <alignment horizontal="left" vertical="center"/>
      <protection locked="0"/>
    </xf>
    <xf numFmtId="0" fontId="26" fillId="37" borderId="96" xfId="42" applyFont="1" applyFill="1" applyBorder="1" applyAlignment="1" applyProtection="1">
      <alignment horizontal="left" vertical="center"/>
      <protection locked="0"/>
    </xf>
    <xf numFmtId="0" fontId="32" fillId="37" borderId="82" xfId="42" applyFont="1" applyFill="1" applyBorder="1" applyAlignment="1" applyProtection="1">
      <alignment horizontal="left" vertical="center"/>
      <protection locked="0"/>
    </xf>
    <xf numFmtId="0" fontId="32" fillId="37" borderId="96" xfId="42" applyFont="1" applyFill="1" applyBorder="1" applyAlignment="1" applyProtection="1">
      <alignment horizontal="left" vertical="center"/>
      <protection locked="0"/>
    </xf>
    <xf numFmtId="0" fontId="26" fillId="37" borderId="83" xfId="42" applyFont="1" applyFill="1" applyBorder="1" applyAlignment="1" applyProtection="1">
      <alignment horizontal="center" vertical="center"/>
      <protection locked="0"/>
    </xf>
    <xf numFmtId="0" fontId="117" fillId="0" borderId="38" xfId="42" applyFont="1" applyFill="1" applyBorder="1" applyAlignment="1" applyProtection="1">
      <alignment horizontal="center" vertical="center" wrapText="1"/>
      <protection hidden="1"/>
    </xf>
    <xf numFmtId="0" fontId="101" fillId="37" borderId="22" xfId="42" applyFont="1" applyFill="1" applyBorder="1" applyAlignment="1" applyProtection="1">
      <alignment horizontal="center" vertical="center"/>
      <protection locked="0"/>
    </xf>
    <xf numFmtId="0" fontId="32" fillId="37" borderId="84" xfId="42" applyFont="1" applyFill="1" applyBorder="1" applyAlignment="1" applyProtection="1">
      <alignment horizontal="left" vertical="center"/>
      <protection hidden="1"/>
    </xf>
    <xf numFmtId="0" fontId="32" fillId="37" borderId="100" xfId="42" applyFont="1" applyFill="1" applyBorder="1" applyAlignment="1" applyProtection="1">
      <alignment horizontal="left" vertical="center"/>
      <protection hidden="1"/>
    </xf>
    <xf numFmtId="0" fontId="101" fillId="37" borderId="21" xfId="42" applyFont="1" applyFill="1" applyBorder="1" applyAlignment="1" applyProtection="1">
      <alignment horizontal="center" vertical="center"/>
      <protection locked="0"/>
    </xf>
    <xf numFmtId="0" fontId="101" fillId="37" borderId="103" xfId="42" applyFont="1" applyFill="1" applyBorder="1" applyAlignment="1" applyProtection="1">
      <alignment horizontal="center" vertical="center"/>
      <protection locked="0"/>
    </xf>
    <xf numFmtId="0" fontId="101" fillId="37" borderId="101" xfId="42" applyFont="1" applyFill="1" applyBorder="1" applyAlignment="1" applyProtection="1">
      <alignment horizontal="center" vertical="center"/>
      <protection locked="0"/>
    </xf>
    <xf numFmtId="164" fontId="100" fillId="37" borderId="103" xfId="28" applyNumberFormat="1" applyFont="1" applyFill="1" applyBorder="1" applyAlignment="1" applyProtection="1">
      <alignment horizontal="center" vertical="center"/>
      <protection locked="0"/>
    </xf>
    <xf numFmtId="0" fontId="102" fillId="36" borderId="95" xfId="42" applyFont="1" applyFill="1" applyBorder="1" applyAlignment="1" applyProtection="1">
      <alignment horizontal="center" vertical="center" textRotation="90" wrapText="1"/>
      <protection hidden="1"/>
    </xf>
    <xf numFmtId="0" fontId="102" fillId="36" borderId="85" xfId="42" applyFont="1" applyFill="1" applyBorder="1" applyAlignment="1" applyProtection="1">
      <alignment horizontal="center" vertical="center" textRotation="90" wrapText="1"/>
      <protection hidden="1"/>
    </xf>
    <xf numFmtId="0" fontId="102" fillId="36" borderId="98" xfId="42" applyFont="1" applyFill="1" applyBorder="1" applyAlignment="1" applyProtection="1">
      <alignment horizontal="center" vertical="center" textRotation="90" wrapText="1"/>
      <protection hidden="1"/>
    </xf>
    <xf numFmtId="0" fontId="102" fillId="36" borderId="95" xfId="42" applyFont="1" applyFill="1" applyBorder="1" applyAlignment="1" applyProtection="1">
      <alignment horizontal="center" vertical="center" textRotation="90"/>
      <protection hidden="1"/>
    </xf>
    <xf numFmtId="0" fontId="102" fillId="36" borderId="85" xfId="42" applyFont="1" applyFill="1" applyBorder="1" applyAlignment="1" applyProtection="1">
      <alignment horizontal="center" vertical="center" textRotation="90"/>
      <protection hidden="1"/>
    </xf>
    <xf numFmtId="0" fontId="102" fillId="36" borderId="98" xfId="42" applyFont="1" applyFill="1" applyBorder="1" applyAlignment="1" applyProtection="1">
      <alignment horizontal="center" vertical="center" textRotation="90"/>
      <protection hidden="1"/>
    </xf>
    <xf numFmtId="170" fontId="101" fillId="37" borderId="23" xfId="42" applyNumberFormat="1" applyFont="1" applyFill="1" applyBorder="1" applyAlignment="1" applyProtection="1">
      <alignment horizontal="center" vertical="center"/>
      <protection locked="0"/>
    </xf>
    <xf numFmtId="164" fontId="101" fillId="37" borderId="23" xfId="28" applyNumberFormat="1" applyFont="1" applyFill="1" applyBorder="1" applyAlignment="1" applyProtection="1">
      <alignment horizontal="center" vertical="center"/>
      <protection locked="0"/>
    </xf>
    <xf numFmtId="164" fontId="101" fillId="37" borderId="22" xfId="28" applyNumberFormat="1" applyFont="1" applyFill="1" applyBorder="1" applyAlignment="1" applyProtection="1">
      <alignment horizontal="center" vertical="center"/>
      <protection hidden="1"/>
    </xf>
    <xf numFmtId="164" fontId="101" fillId="37" borderId="22" xfId="28" applyNumberFormat="1" applyFont="1" applyFill="1" applyBorder="1" applyAlignment="1" applyProtection="1">
      <alignment horizontal="center" vertical="center"/>
      <protection locked="0"/>
    </xf>
    <xf numFmtId="170" fontId="101" fillId="37" borderId="23" xfId="42" applyNumberFormat="1" applyFont="1" applyFill="1" applyBorder="1" applyAlignment="1" applyProtection="1">
      <alignment horizontal="center" vertical="center"/>
      <protection hidden="1"/>
    </xf>
    <xf numFmtId="0" fontId="101" fillId="37" borderId="105" xfId="42" applyFont="1" applyFill="1" applyBorder="1" applyAlignment="1" applyProtection="1">
      <alignment horizontal="center" vertical="center"/>
      <protection locked="0"/>
    </xf>
    <xf numFmtId="0" fontId="108" fillId="0" borderId="36" xfId="38" applyFont="1" applyFill="1" applyBorder="1" applyAlignment="1" applyProtection="1">
      <alignment horizontal="center" vertical="center"/>
    </xf>
    <xf numFmtId="164" fontId="101" fillId="37" borderId="86" xfId="28" applyNumberFormat="1" applyFont="1" applyFill="1" applyBorder="1" applyAlignment="1" applyProtection="1">
      <alignment horizontal="left" vertical="center"/>
      <protection locked="0"/>
    </xf>
    <xf numFmtId="164" fontId="101" fillId="37" borderId="106" xfId="28" applyNumberFormat="1" applyFont="1" applyFill="1" applyBorder="1" applyAlignment="1" applyProtection="1">
      <alignment horizontal="left" vertical="center"/>
      <protection locked="0"/>
    </xf>
    <xf numFmtId="173" fontId="101" fillId="37" borderId="23" xfId="28" applyNumberFormat="1" applyFont="1" applyFill="1" applyBorder="1" applyAlignment="1" applyProtection="1">
      <alignment horizontal="center" vertical="center"/>
      <protection locked="0"/>
    </xf>
    <xf numFmtId="173" fontId="101" fillId="37" borderId="21" xfId="28" applyNumberFormat="1" applyFont="1" applyFill="1" applyBorder="1" applyAlignment="1" applyProtection="1">
      <alignment horizontal="center" vertical="center"/>
      <protection locked="0"/>
    </xf>
    <xf numFmtId="0" fontId="104" fillId="38" borderId="84" xfId="42" applyFont="1" applyFill="1" applyBorder="1" applyAlignment="1" applyProtection="1">
      <alignment horizontal="right" vertical="center" indent="1"/>
      <protection hidden="1"/>
    </xf>
    <xf numFmtId="0" fontId="101" fillId="37" borderId="86" xfId="42" applyFont="1" applyFill="1" applyBorder="1" applyAlignment="1" applyProtection="1">
      <alignment horizontal="center" vertical="center"/>
      <protection locked="0"/>
    </xf>
    <xf numFmtId="172" fontId="101" fillId="37" borderId="0" xfId="28" applyNumberFormat="1" applyFont="1" applyFill="1" applyBorder="1" applyAlignment="1" applyProtection="1">
      <alignment horizontal="center" vertical="center"/>
      <protection locked="0"/>
    </xf>
    <xf numFmtId="172" fontId="101" fillId="37" borderId="83" xfId="28" applyNumberFormat="1" applyFont="1" applyFill="1" applyBorder="1" applyAlignment="1" applyProtection="1">
      <alignment horizontal="center" vertical="center"/>
      <protection locked="0"/>
    </xf>
    <xf numFmtId="164" fontId="101" fillId="37" borderId="83" xfId="28" applyNumberFormat="1" applyFont="1" applyFill="1" applyBorder="1" applyAlignment="1" applyProtection="1">
      <alignment horizontal="center" vertical="center"/>
      <protection hidden="1"/>
    </xf>
    <xf numFmtId="0" fontId="116" fillId="38" borderId="0" xfId="42" applyFont="1" applyFill="1" applyBorder="1" applyAlignment="1" applyProtection="1">
      <alignment horizontal="right" vertical="center" indent="1"/>
      <protection hidden="1"/>
    </xf>
    <xf numFmtId="164" fontId="16" fillId="0" borderId="25" xfId="0" applyNumberFormat="1" applyFont="1" applyBorder="1" applyAlignment="1" applyProtection="1">
      <alignment horizontal="center" vertical="center" wrapText="1"/>
      <protection hidden="1"/>
    </xf>
    <xf numFmtId="0" fontId="20" fillId="0" borderId="0" xfId="0" applyFont="1" applyAlignment="1" applyProtection="1">
      <alignment horizontal="center" vertical="top" wrapText="1"/>
      <protection hidden="1"/>
    </xf>
    <xf numFmtId="0" fontId="17" fillId="0" borderId="0" xfId="0" applyFont="1" applyBorder="1" applyAlignment="1" applyProtection="1">
      <alignment horizontal="center" vertical="center" wrapText="1"/>
      <protection hidden="1"/>
    </xf>
    <xf numFmtId="0" fontId="26" fillId="0" borderId="13" xfId="0" applyFont="1" applyBorder="1" applyAlignment="1" applyProtection="1">
      <alignment horizontal="center" vertical="center" wrapText="1"/>
      <protection hidden="1"/>
    </xf>
    <xf numFmtId="0" fontId="26" fillId="0" borderId="12" xfId="0" applyFont="1" applyBorder="1" applyAlignment="1" applyProtection="1">
      <alignment horizontal="center" vertical="center" wrapText="1"/>
      <protection hidden="1"/>
    </xf>
    <xf numFmtId="0" fontId="14" fillId="0" borderId="0" xfId="0" applyFont="1" applyAlignment="1" applyProtection="1">
      <alignment horizontal="left" vertical="top" wrapText="1"/>
      <protection hidden="1"/>
    </xf>
    <xf numFmtId="164" fontId="14" fillId="0" borderId="0" xfId="0" applyNumberFormat="1" applyFont="1" applyAlignment="1" applyProtection="1">
      <alignment horizontal="center" vertical="top" wrapText="1"/>
      <protection hidden="1"/>
    </xf>
    <xf numFmtId="0" fontId="21" fillId="0" borderId="0" xfId="0" applyFont="1" applyAlignment="1" applyProtection="1">
      <alignment horizontal="center" wrapText="1"/>
      <protection hidden="1"/>
    </xf>
    <xf numFmtId="0" fontId="26" fillId="0" borderId="8" xfId="0" applyFont="1" applyBorder="1" applyAlignment="1" applyProtection="1">
      <alignment horizontal="center" vertical="center" wrapText="1"/>
      <protection hidden="1"/>
    </xf>
    <xf numFmtId="0" fontId="26" fillId="0" borderId="25"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70" fillId="0" borderId="13" xfId="0" applyFont="1" applyBorder="1" applyAlignment="1" applyProtection="1">
      <alignment horizontal="center" vertical="center" wrapText="1"/>
      <protection hidden="1"/>
    </xf>
    <xf numFmtId="0" fontId="70" fillId="0" borderId="12" xfId="0" applyFont="1" applyBorder="1" applyAlignment="1" applyProtection="1">
      <alignment horizontal="center" vertical="center" wrapText="1"/>
      <protection hidden="1"/>
    </xf>
    <xf numFmtId="0" fontId="70" fillId="0" borderId="13" xfId="0" applyFont="1" applyBorder="1" applyAlignment="1" applyProtection="1">
      <alignment horizontal="center" vertical="center" wrapText="1"/>
      <protection locked="0" hidden="1"/>
    </xf>
    <xf numFmtId="0" fontId="70" fillId="0" borderId="12" xfId="0" applyFont="1" applyBorder="1" applyAlignment="1" applyProtection="1">
      <alignment horizontal="center" vertical="center" wrapText="1"/>
      <protection locked="0" hidden="1"/>
    </xf>
    <xf numFmtId="0" fontId="70" fillId="0" borderId="1" xfId="0" applyFont="1" applyBorder="1" applyAlignment="1" applyProtection="1">
      <alignment horizontal="center" vertical="center" wrapText="1"/>
      <protection hidden="1"/>
    </xf>
    <xf numFmtId="0" fontId="70" fillId="0" borderId="2" xfId="0" applyFont="1" applyBorder="1" applyAlignment="1" applyProtection="1">
      <alignment horizontal="center" vertical="center" wrapText="1"/>
      <protection hidden="1"/>
    </xf>
    <xf numFmtId="0" fontId="70" fillId="0" borderId="3" xfId="0" applyFont="1" applyBorder="1" applyAlignment="1" applyProtection="1">
      <alignment horizontal="center" vertical="center" wrapText="1"/>
      <protection hidden="1"/>
    </xf>
    <xf numFmtId="0" fontId="14" fillId="0" borderId="0" xfId="0" applyFont="1" applyAlignment="1" applyProtection="1">
      <alignment horizontal="left" vertical="top" wrapText="1" indent="1"/>
      <protection hidden="1"/>
    </xf>
    <xf numFmtId="164" fontId="14" fillId="0" borderId="0" xfId="28" applyNumberFormat="1" applyFont="1" applyAlignment="1" applyProtection="1">
      <alignment horizontal="center" vertical="top" wrapText="1"/>
      <protection hidden="1"/>
    </xf>
    <xf numFmtId="0" fontId="15" fillId="0" borderId="0" xfId="0" applyFont="1" applyAlignment="1" applyProtection="1">
      <alignment horizontal="center" vertical="top" wrapText="1"/>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horizontal="left" vertical="top" wrapText="1"/>
      <protection hidden="1"/>
    </xf>
    <xf numFmtId="164" fontId="16" fillId="0" borderId="39" xfId="28" applyNumberFormat="1" applyFont="1" applyBorder="1" applyAlignment="1" applyProtection="1">
      <alignment horizontal="center" vertical="center" wrapText="1"/>
      <protection hidden="1"/>
    </xf>
    <xf numFmtId="0" fontId="32" fillId="0" borderId="0" xfId="0" applyFont="1" applyAlignment="1" applyProtection="1">
      <alignment horizontal="left" vertical="top" wrapText="1"/>
      <protection hidden="1"/>
    </xf>
    <xf numFmtId="0" fontId="21" fillId="0" borderId="0" xfId="0" applyFont="1" applyAlignment="1" applyProtection="1">
      <alignment horizontal="center" vertical="top" wrapText="1"/>
      <protection hidden="1"/>
    </xf>
    <xf numFmtId="0" fontId="22" fillId="0" borderId="0" xfId="0" applyFont="1" applyAlignment="1" applyProtection="1">
      <alignment horizontal="center" vertical="top" wrapText="1"/>
      <protection hidden="1"/>
    </xf>
    <xf numFmtId="0" fontId="29" fillId="0" borderId="0" xfId="0" applyFont="1" applyAlignment="1" applyProtection="1">
      <alignment horizontal="center" vertical="center" wrapText="1"/>
      <protection hidden="1"/>
    </xf>
    <xf numFmtId="0" fontId="29" fillId="0" borderId="27" xfId="0" applyFont="1" applyBorder="1" applyAlignment="1" applyProtection="1">
      <alignment horizontal="center" vertical="center" wrapText="1"/>
      <protection hidden="1"/>
    </xf>
    <xf numFmtId="0" fontId="16" fillId="0" borderId="40" xfId="0" applyFont="1" applyBorder="1" applyAlignment="1" applyProtection="1">
      <alignment horizontal="center" vertical="center" wrapText="1"/>
      <protection hidden="1"/>
    </xf>
    <xf numFmtId="0" fontId="16" fillId="0" borderId="39" xfId="0" applyFont="1" applyBorder="1" applyAlignment="1" applyProtection="1">
      <alignment horizontal="center" vertical="center" wrapText="1"/>
      <protection hidden="1"/>
    </xf>
    <xf numFmtId="0" fontId="16" fillId="0" borderId="41" xfId="0" applyFont="1" applyBorder="1" applyAlignment="1" applyProtection="1">
      <alignment horizontal="center" vertical="center" wrapText="1"/>
      <protection hidden="1"/>
    </xf>
    <xf numFmtId="0" fontId="16" fillId="0" borderId="42" xfId="0" applyFont="1" applyBorder="1" applyAlignment="1" applyProtection="1">
      <alignment horizontal="center" vertical="center" wrapText="1"/>
      <protection hidden="1"/>
    </xf>
    <xf numFmtId="0" fontId="16" fillId="0" borderId="28" xfId="0" applyFont="1" applyBorder="1" applyAlignment="1" applyProtection="1">
      <alignment horizontal="center" vertical="center" wrapText="1"/>
      <protection hidden="1"/>
    </xf>
    <xf numFmtId="0" fontId="16" fillId="0" borderId="29"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hidden="1"/>
    </xf>
    <xf numFmtId="0" fontId="14" fillId="0" borderId="33" xfId="0" applyFont="1" applyBorder="1" applyAlignment="1" applyProtection="1">
      <alignment horizontal="center" vertical="center" wrapText="1"/>
      <protection hidden="1"/>
    </xf>
    <xf numFmtId="0" fontId="14" fillId="0" borderId="0" xfId="0" applyFont="1" applyBorder="1" applyAlignment="1" applyProtection="1">
      <alignment horizontal="left" vertical="top" wrapText="1"/>
      <protection hidden="1"/>
    </xf>
    <xf numFmtId="0" fontId="16" fillId="0" borderId="25" xfId="0" applyFont="1" applyBorder="1" applyAlignment="1" applyProtection="1">
      <alignment horizontal="center" vertical="top" wrapText="1"/>
      <protection hidden="1"/>
    </xf>
    <xf numFmtId="0" fontId="14" fillId="0" borderId="0" xfId="0" applyFont="1" applyBorder="1" applyAlignment="1">
      <alignment horizontal="left" vertical="top" wrapText="1"/>
    </xf>
    <xf numFmtId="0" fontId="14" fillId="0" borderId="2" xfId="0" applyFont="1" applyBorder="1" applyAlignment="1" applyProtection="1">
      <alignment horizontal="left" vertical="top" wrapText="1"/>
      <protection hidden="1"/>
    </xf>
    <xf numFmtId="0" fontId="14" fillId="0" borderId="6" xfId="0" applyFont="1" applyBorder="1" applyAlignment="1" applyProtection="1">
      <alignment horizontal="center" vertical="top" wrapText="1"/>
      <protection locked="0"/>
    </xf>
    <xf numFmtId="164" fontId="14" fillId="0" borderId="0" xfId="28" applyNumberFormat="1" applyFont="1" applyBorder="1" applyAlignment="1" applyProtection="1">
      <alignment horizontal="center" vertical="center" wrapText="1"/>
      <protection hidden="1"/>
    </xf>
    <xf numFmtId="164" fontId="14" fillId="0" borderId="5" xfId="28" applyNumberFormat="1" applyFont="1" applyBorder="1" applyAlignment="1" applyProtection="1">
      <alignment horizontal="center" vertical="center" wrapText="1"/>
      <protection hidden="1"/>
    </xf>
    <xf numFmtId="0" fontId="14" fillId="0" borderId="25"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23" fillId="0" borderId="0" xfId="0" applyFont="1" applyBorder="1" applyAlignment="1" applyProtection="1">
      <alignment horizontal="center" vertical="top" wrapText="1"/>
      <protection hidden="1"/>
    </xf>
    <xf numFmtId="0" fontId="14" fillId="0" borderId="0" xfId="0" applyFont="1" applyBorder="1" applyAlignment="1" applyProtection="1">
      <alignment horizontal="center" vertical="top" wrapText="1"/>
      <protection hidden="1"/>
    </xf>
    <xf numFmtId="0" fontId="16" fillId="0" borderId="8" xfId="0" applyFont="1" applyBorder="1" applyAlignment="1" applyProtection="1">
      <alignment horizontal="center" vertical="center" wrapText="1"/>
      <protection hidden="1"/>
    </xf>
    <xf numFmtId="0" fontId="16" fillId="0" borderId="25"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14" fillId="0" borderId="1" xfId="0" applyFont="1" applyBorder="1" applyAlignment="1" applyProtection="1">
      <alignment horizontal="center" vertical="top" wrapText="1"/>
      <protection hidden="1"/>
    </xf>
    <xf numFmtId="0" fontId="14" fillId="0" borderId="2" xfId="0" applyFont="1" applyBorder="1" applyAlignment="1" applyProtection="1">
      <alignment horizontal="center" vertical="top" wrapText="1"/>
      <protection hidden="1"/>
    </xf>
    <xf numFmtId="0" fontId="14" fillId="0" borderId="3" xfId="0" applyFont="1" applyBorder="1" applyAlignment="1" applyProtection="1">
      <alignment horizontal="center" vertical="top" wrapText="1"/>
      <protection hidden="1"/>
    </xf>
    <xf numFmtId="164" fontId="64" fillId="0" borderId="11" xfId="28" applyNumberFormat="1" applyFont="1" applyBorder="1" applyAlignment="1" applyProtection="1">
      <alignment horizontal="center" vertical="center" wrapText="1"/>
      <protection hidden="1"/>
    </xf>
    <xf numFmtId="164" fontId="64" fillId="0" borderId="15" xfId="28" applyNumberFormat="1" applyFont="1" applyBorder="1" applyAlignment="1" applyProtection="1">
      <alignment horizontal="center" vertical="center" wrapText="1"/>
      <protection hidden="1"/>
    </xf>
    <xf numFmtId="0" fontId="16" fillId="0" borderId="2" xfId="0" applyFont="1" applyBorder="1" applyAlignment="1" applyProtection="1">
      <alignment horizontal="center" vertical="top" wrapText="1"/>
      <protection hidden="1"/>
    </xf>
    <xf numFmtId="0" fontId="16" fillId="0" borderId="11"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32" fillId="0" borderId="4" xfId="0" applyFont="1" applyBorder="1" applyAlignment="1" applyProtection="1">
      <alignment horizontal="center" vertical="center" wrapText="1"/>
      <protection hidden="1"/>
    </xf>
    <xf numFmtId="0" fontId="32" fillId="0" borderId="5" xfId="0" applyFont="1" applyBorder="1" applyAlignment="1" applyProtection="1">
      <alignment horizontal="center" vertical="center" wrapText="1"/>
      <protection hidden="1"/>
    </xf>
    <xf numFmtId="164" fontId="8" fillId="0" borderId="1" xfId="28" applyNumberFormat="1" applyFont="1" applyBorder="1" applyAlignment="1" applyProtection="1">
      <alignment horizontal="center" vertical="center" wrapText="1"/>
      <protection hidden="1"/>
    </xf>
    <xf numFmtId="164" fontId="8" fillId="0" borderId="3" xfId="28" applyNumberFormat="1" applyFont="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64" fillId="0" borderId="12" xfId="0" applyFont="1" applyBorder="1" applyAlignment="1" applyProtection="1">
      <alignment horizontal="center" vertical="center" wrapText="1"/>
      <protection hidden="1"/>
    </xf>
    <xf numFmtId="164" fontId="14" fillId="0" borderId="6" xfId="28" applyNumberFormat="1" applyFont="1" applyBorder="1" applyAlignment="1" applyProtection="1">
      <alignment horizontal="center" vertical="center" wrapText="1"/>
      <protection hidden="1"/>
    </xf>
    <xf numFmtId="0" fontId="14" fillId="0" borderId="4" xfId="0" applyFont="1" applyBorder="1" applyAlignment="1" applyProtection="1">
      <alignment horizontal="center" vertical="top" wrapText="1"/>
      <protection hidden="1"/>
    </xf>
    <xf numFmtId="0" fontId="14" fillId="0" borderId="5" xfId="0" applyFont="1" applyBorder="1" applyAlignment="1" applyProtection="1">
      <alignment horizontal="center" vertical="top" wrapText="1"/>
      <protection hidden="1"/>
    </xf>
    <xf numFmtId="0" fontId="14" fillId="0" borderId="11" xfId="0" applyFont="1" applyBorder="1" applyAlignment="1" applyProtection="1">
      <alignment horizontal="center" vertical="top" wrapText="1"/>
      <protection hidden="1"/>
    </xf>
    <xf numFmtId="0" fontId="14" fillId="0" borderId="7" xfId="0" applyFont="1" applyBorder="1" applyAlignment="1" applyProtection="1">
      <alignment horizontal="center" vertical="top" wrapText="1"/>
      <protection hidden="1"/>
    </xf>
    <xf numFmtId="0" fontId="14" fillId="0" borderId="15" xfId="0" applyFont="1" applyBorder="1" applyAlignment="1" applyProtection="1">
      <alignment horizontal="center" vertical="top" wrapText="1"/>
      <protection hidden="1"/>
    </xf>
    <xf numFmtId="0" fontId="16" fillId="0" borderId="7" xfId="0" applyFont="1" applyBorder="1" applyAlignment="1" applyProtection="1">
      <alignment horizontal="center" vertical="top"/>
      <protection hidden="1"/>
    </xf>
    <xf numFmtId="0" fontId="16" fillId="0" borderId="15" xfId="0" applyFont="1" applyBorder="1" applyAlignment="1" applyProtection="1">
      <alignment horizontal="center" vertical="top"/>
      <protection hidden="1"/>
    </xf>
    <xf numFmtId="0" fontId="14" fillId="0" borderId="1" xfId="0" applyFont="1" applyBorder="1" applyAlignment="1" applyProtection="1">
      <alignment horizontal="justify" vertical="center" wrapText="1"/>
      <protection hidden="1"/>
    </xf>
    <xf numFmtId="0" fontId="14" fillId="0" borderId="2" xfId="0" applyFont="1" applyBorder="1" applyAlignment="1" applyProtection="1">
      <alignment horizontal="justify" vertical="center" wrapText="1"/>
      <protection hidden="1"/>
    </xf>
    <xf numFmtId="0" fontId="14" fillId="0" borderId="3" xfId="0" applyFont="1" applyBorder="1" applyAlignment="1" applyProtection="1">
      <alignment horizontal="justify" vertical="center" wrapText="1"/>
      <protection hidden="1"/>
    </xf>
    <xf numFmtId="0" fontId="16" fillId="0" borderId="0" xfId="0" applyFont="1" applyBorder="1" applyAlignment="1" applyProtection="1">
      <alignment horizontal="center" vertical="top"/>
      <protection hidden="1"/>
    </xf>
    <xf numFmtId="0" fontId="16" fillId="0" borderId="5" xfId="0" applyFont="1" applyBorder="1" applyAlignment="1" applyProtection="1">
      <alignment horizontal="center" vertical="top"/>
      <protection hidden="1"/>
    </xf>
    <xf numFmtId="0" fontId="78" fillId="0" borderId="0" xfId="0" applyFont="1" applyAlignment="1">
      <alignment horizontal="center" vertical="center"/>
    </xf>
    <xf numFmtId="0" fontId="79" fillId="0" borderId="0" xfId="0" applyFont="1" applyAlignment="1">
      <alignment horizontal="justify" vertical="justify" wrapText="1"/>
    </xf>
    <xf numFmtId="164" fontId="35" fillId="0" borderId="6" xfId="28" applyNumberFormat="1" applyFont="1" applyBorder="1" applyAlignment="1" applyProtection="1">
      <alignment horizontal="right" vertical="center" wrapText="1" indent="5"/>
      <protection hidden="1"/>
    </xf>
    <xf numFmtId="164" fontId="35" fillId="0" borderId="8" xfId="28" applyNumberFormat="1" applyFont="1" applyBorder="1" applyAlignment="1" applyProtection="1">
      <alignment horizontal="right" vertical="center" wrapText="1" indent="5"/>
      <protection hidden="1"/>
    </xf>
    <xf numFmtId="164" fontId="35" fillId="0" borderId="25" xfId="28" applyNumberFormat="1" applyFont="1" applyBorder="1" applyAlignment="1" applyProtection="1">
      <alignment horizontal="right" vertical="center" wrapText="1" indent="5"/>
      <protection hidden="1"/>
    </xf>
    <xf numFmtId="164" fontId="35" fillId="0" borderId="26" xfId="28" applyNumberFormat="1" applyFont="1" applyBorder="1" applyAlignment="1" applyProtection="1">
      <alignment horizontal="right" vertical="center" wrapText="1" indent="5"/>
      <protection hidden="1"/>
    </xf>
    <xf numFmtId="0" fontId="38" fillId="0" borderId="6" xfId="0" applyFont="1" applyBorder="1" applyAlignment="1" applyProtection="1">
      <alignment vertical="center" wrapText="1"/>
      <protection hidden="1"/>
    </xf>
    <xf numFmtId="0" fontId="38" fillId="0" borderId="13" xfId="0" applyFont="1" applyBorder="1" applyAlignment="1" applyProtection="1">
      <alignment vertical="center" wrapText="1"/>
      <protection hidden="1"/>
    </xf>
    <xf numFmtId="0" fontId="38" fillId="3" borderId="6" xfId="0" applyFont="1" applyFill="1" applyBorder="1" applyAlignment="1" applyProtection="1">
      <alignment horizontal="center" vertical="center" wrapText="1"/>
      <protection hidden="1"/>
    </xf>
    <xf numFmtId="0" fontId="38" fillId="3" borderId="30" xfId="0" applyFont="1" applyFill="1" applyBorder="1" applyAlignment="1" applyProtection="1">
      <alignment horizontal="center" vertical="center" wrapText="1"/>
      <protection hidden="1"/>
    </xf>
    <xf numFmtId="0" fontId="44" fillId="0" borderId="1" xfId="0" applyFont="1" applyBorder="1" applyAlignment="1" applyProtection="1">
      <alignment horizontal="left" vertical="top" wrapText="1"/>
      <protection hidden="1"/>
    </xf>
    <xf numFmtId="0" fontId="44" fillId="0" borderId="2" xfId="0" applyFont="1" applyBorder="1" applyAlignment="1" applyProtection="1">
      <alignment horizontal="left" vertical="top" wrapText="1"/>
      <protection hidden="1"/>
    </xf>
    <xf numFmtId="0" fontId="44" fillId="0" borderId="16" xfId="0" applyFont="1" applyBorder="1" applyAlignment="1" applyProtection="1">
      <alignment horizontal="left" vertical="top" wrapText="1"/>
      <protection hidden="1"/>
    </xf>
    <xf numFmtId="0" fontId="44" fillId="0" borderId="31" xfId="0" applyFont="1" applyBorder="1" applyAlignment="1" applyProtection="1">
      <alignment horizontal="left" vertical="top" wrapText="1"/>
      <protection hidden="1"/>
    </xf>
    <xf numFmtId="0" fontId="44" fillId="0" borderId="28" xfId="0" applyFont="1" applyBorder="1" applyAlignment="1" applyProtection="1">
      <alignment horizontal="left" vertical="top" wrapText="1"/>
      <protection hidden="1"/>
    </xf>
    <xf numFmtId="0" fontId="44" fillId="0" borderId="29" xfId="0" applyFont="1" applyBorder="1" applyAlignment="1" applyProtection="1">
      <alignment horizontal="left" vertical="top" wrapText="1"/>
      <protection hidden="1"/>
    </xf>
    <xf numFmtId="0" fontId="44" fillId="0" borderId="45" xfId="0" applyFont="1" applyBorder="1" applyAlignment="1" applyProtection="1">
      <alignment horizontal="left" vertical="top" wrapText="1"/>
      <protection hidden="1"/>
    </xf>
    <xf numFmtId="0" fontId="44" fillId="0" borderId="32" xfId="0" applyFont="1" applyBorder="1" applyAlignment="1" applyProtection="1">
      <alignment horizontal="left" vertical="top" wrapText="1"/>
      <protection hidden="1"/>
    </xf>
    <xf numFmtId="0" fontId="44" fillId="0" borderId="46" xfId="0" applyFont="1" applyBorder="1" applyAlignment="1" applyProtection="1">
      <alignment horizontal="left" vertical="center" wrapText="1"/>
      <protection hidden="1"/>
    </xf>
    <xf numFmtId="0" fontId="44" fillId="0" borderId="2" xfId="0" applyFont="1" applyBorder="1" applyAlignment="1" applyProtection="1">
      <alignment horizontal="left" vertical="center" wrapText="1"/>
      <protection hidden="1"/>
    </xf>
    <xf numFmtId="0" fontId="44" fillId="0" borderId="3" xfId="0" applyFont="1" applyBorder="1" applyAlignment="1" applyProtection="1">
      <alignment horizontal="left" vertical="center" wrapText="1"/>
      <protection hidden="1"/>
    </xf>
    <xf numFmtId="0" fontId="39" fillId="0" borderId="43" xfId="0" applyFont="1" applyBorder="1" applyAlignment="1" applyProtection="1">
      <alignment horizontal="center" vertical="center" textRotation="90" wrapText="1"/>
      <protection hidden="1"/>
    </xf>
    <xf numFmtId="0" fontId="39" fillId="0" borderId="44" xfId="0" applyFont="1" applyBorder="1" applyAlignment="1" applyProtection="1">
      <alignment horizontal="center" vertical="center" textRotation="90" wrapText="1"/>
      <protection hidden="1"/>
    </xf>
    <xf numFmtId="0" fontId="38" fillId="0" borderId="6" xfId="0" applyFont="1" applyBorder="1" applyAlignment="1" applyProtection="1">
      <alignment horizontal="center" vertical="center" wrapText="1"/>
      <protection hidden="1"/>
    </xf>
    <xf numFmtId="0" fontId="38" fillId="0" borderId="12" xfId="0" applyFont="1" applyBorder="1" applyAlignment="1" applyProtection="1">
      <alignment vertical="center" wrapText="1"/>
      <protection hidden="1"/>
    </xf>
    <xf numFmtId="0" fontId="33" fillId="0" borderId="40" xfId="0" applyFont="1" applyBorder="1" applyAlignment="1" applyProtection="1">
      <alignment horizontal="center" wrapText="1"/>
      <protection hidden="1"/>
    </xf>
    <xf numFmtId="0" fontId="33" fillId="0" borderId="39" xfId="0" applyFont="1" applyBorder="1" applyAlignment="1" applyProtection="1">
      <alignment horizontal="center" wrapText="1"/>
      <protection hidden="1"/>
    </xf>
    <xf numFmtId="0" fontId="33" fillId="0" borderId="41" xfId="0" applyFont="1" applyBorder="1" applyAlignment="1" applyProtection="1">
      <alignment horizontal="center" wrapText="1"/>
      <protection hidden="1"/>
    </xf>
    <xf numFmtId="0" fontId="33" fillId="0" borderId="47" xfId="0" applyFont="1" applyBorder="1" applyAlignment="1" applyProtection="1">
      <alignment horizontal="center" wrapText="1"/>
      <protection hidden="1"/>
    </xf>
    <xf numFmtId="0" fontId="33" fillId="0" borderId="0" xfId="0" applyFont="1" applyBorder="1" applyAlignment="1" applyProtection="1">
      <alignment horizontal="center" wrapText="1"/>
      <protection hidden="1"/>
    </xf>
    <xf numFmtId="0" fontId="33" fillId="0" borderId="27" xfId="0" applyFont="1" applyBorder="1" applyAlignment="1" applyProtection="1">
      <alignment horizontal="center" wrapText="1"/>
      <protection hidden="1"/>
    </xf>
    <xf numFmtId="0" fontId="46" fillId="0" borderId="47" xfId="0" applyFont="1" applyBorder="1" applyAlignment="1" applyProtection="1">
      <alignment horizontal="center" wrapText="1"/>
      <protection hidden="1"/>
    </xf>
    <xf numFmtId="0" fontId="46" fillId="0" borderId="0" xfId="0" applyFont="1" applyBorder="1" applyAlignment="1" applyProtection="1">
      <alignment horizontal="center" wrapText="1"/>
      <protection hidden="1"/>
    </xf>
    <xf numFmtId="0" fontId="46" fillId="0" borderId="27" xfId="0" applyFont="1" applyBorder="1" applyAlignment="1" applyProtection="1">
      <alignment horizontal="center" wrapText="1"/>
      <protection hidden="1"/>
    </xf>
    <xf numFmtId="0" fontId="41" fillId="0" borderId="47" xfId="0" applyFont="1" applyBorder="1" applyAlignment="1" applyProtection="1">
      <alignment horizontal="left" vertical="center" wrapText="1"/>
      <protection hidden="1"/>
    </xf>
    <xf numFmtId="0" fontId="41" fillId="0" borderId="0"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39" fillId="0" borderId="1" xfId="0" applyFont="1" applyBorder="1" applyAlignment="1" applyProtection="1">
      <alignment horizontal="left" vertical="center" wrapText="1"/>
      <protection hidden="1"/>
    </xf>
    <xf numFmtId="0" fontId="39" fillId="0" borderId="2" xfId="0" applyFont="1" applyBorder="1" applyAlignment="1" applyProtection="1">
      <alignment horizontal="left" vertical="center" wrapText="1"/>
      <protection hidden="1"/>
    </xf>
    <xf numFmtId="0" fontId="39" fillId="0" borderId="3" xfId="0" applyFont="1" applyBorder="1" applyAlignment="1" applyProtection="1">
      <alignment horizontal="left" vertical="center" wrapText="1"/>
      <protection hidden="1"/>
    </xf>
    <xf numFmtId="0" fontId="51" fillId="0" borderId="11" xfId="0" applyFont="1" applyBorder="1" applyAlignment="1" applyProtection="1">
      <alignment horizontal="center" vertical="center" wrapText="1"/>
      <protection hidden="1"/>
    </xf>
    <xf numFmtId="0" fontId="51" fillId="0" borderId="7" xfId="0" applyFont="1" applyBorder="1" applyAlignment="1" applyProtection="1">
      <alignment horizontal="center" vertical="center" wrapText="1"/>
      <protection hidden="1"/>
    </xf>
    <xf numFmtId="0" fontId="51" fillId="0" borderId="15" xfId="0" applyFont="1" applyBorder="1" applyAlignment="1" applyProtection="1">
      <alignment horizontal="center" vertical="center" wrapText="1"/>
      <protection hidden="1"/>
    </xf>
    <xf numFmtId="0" fontId="39" fillId="0" borderId="48" xfId="0" applyFont="1" applyBorder="1" applyAlignment="1" applyProtection="1">
      <alignment horizontal="center" vertical="center" textRotation="90" wrapText="1"/>
      <protection hidden="1"/>
    </xf>
    <xf numFmtId="0" fontId="39" fillId="0" borderId="4" xfId="0" applyFont="1" applyBorder="1" applyAlignment="1" applyProtection="1">
      <alignment horizontal="left" vertical="center" wrapText="1"/>
      <protection hidden="1"/>
    </xf>
    <xf numFmtId="0" fontId="39" fillId="0" borderId="0" xfId="0" applyFont="1" applyBorder="1" applyAlignment="1" applyProtection="1">
      <alignment horizontal="left" vertical="center" wrapText="1"/>
      <protection hidden="1"/>
    </xf>
    <xf numFmtId="0" fontId="39" fillId="0" borderId="5" xfId="0" applyFont="1" applyBorder="1" applyAlignment="1" applyProtection="1">
      <alignment horizontal="left" vertical="center" wrapText="1"/>
      <protection hidden="1"/>
    </xf>
    <xf numFmtId="0" fontId="51" fillId="0" borderId="17" xfId="0" applyFont="1" applyBorder="1" applyAlignment="1" applyProtection="1">
      <alignment horizontal="center" vertical="center" wrapText="1"/>
      <protection hidden="1"/>
    </xf>
    <xf numFmtId="0" fontId="39" fillId="0" borderId="16" xfId="0" applyFont="1" applyBorder="1" applyAlignment="1" applyProtection="1">
      <alignment horizontal="left" vertical="center" wrapText="1"/>
      <protection hidden="1"/>
    </xf>
    <xf numFmtId="0" fontId="39" fillId="0" borderId="27" xfId="0" applyFont="1" applyBorder="1" applyAlignment="1" applyProtection="1">
      <alignment horizontal="left" vertical="center" wrapText="1"/>
      <protection hidden="1"/>
    </xf>
    <xf numFmtId="0" fontId="45" fillId="0" borderId="11" xfId="0" applyFont="1" applyBorder="1" applyAlignment="1" applyProtection="1">
      <alignment vertical="center" wrapText="1"/>
      <protection hidden="1"/>
    </xf>
    <xf numFmtId="0" fontId="45" fillId="0" borderId="7" xfId="0" applyFont="1" applyBorder="1" applyAlignment="1" applyProtection="1">
      <alignment vertical="center" wrapText="1"/>
      <protection hidden="1"/>
    </xf>
    <xf numFmtId="0" fontId="51" fillId="0" borderId="4"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51" fillId="0" borderId="5" xfId="0" applyFont="1" applyBorder="1" applyAlignment="1" applyProtection="1">
      <alignment horizontal="center" vertical="center" wrapText="1"/>
      <protection hidden="1"/>
    </xf>
    <xf numFmtId="0" fontId="45" fillId="0" borderId="11" xfId="0" applyFont="1" applyBorder="1" applyAlignment="1" applyProtection="1">
      <alignment horizontal="center" vertical="center" wrapText="1"/>
      <protection hidden="1"/>
    </xf>
    <xf numFmtId="0" fontId="45" fillId="0" borderId="7" xfId="0" applyFont="1" applyBorder="1" applyAlignment="1" applyProtection="1">
      <alignment horizontal="center" vertical="center" wrapText="1"/>
      <protection hidden="1"/>
    </xf>
    <xf numFmtId="0" fontId="45" fillId="0" borderId="17"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locked="0" hidden="1"/>
    </xf>
    <xf numFmtId="0" fontId="38" fillId="0" borderId="6" xfId="0" applyFont="1" applyBorder="1" applyAlignment="1" applyProtection="1">
      <alignment horizontal="center" vertical="center" wrapText="1"/>
      <protection locked="0" hidden="1"/>
    </xf>
    <xf numFmtId="164" fontId="35" fillId="0" borderId="6" xfId="28" applyNumberFormat="1" applyFont="1" applyBorder="1" applyAlignment="1" applyProtection="1">
      <alignment horizontal="right" vertical="center" wrapText="1" indent="2"/>
      <protection locked="0" hidden="1"/>
    </xf>
    <xf numFmtId="164" fontId="35" fillId="0" borderId="30" xfId="28" applyNumberFormat="1" applyFont="1" applyBorder="1" applyAlignment="1" applyProtection="1">
      <alignment horizontal="right" vertical="center" wrapText="1" indent="2"/>
      <protection locked="0" hidden="1"/>
    </xf>
    <xf numFmtId="0" fontId="39" fillId="0" borderId="13" xfId="0" applyFont="1" applyBorder="1" applyAlignment="1" applyProtection="1">
      <alignment horizontal="center" vertical="center" wrapText="1"/>
      <protection locked="0" hidden="1"/>
    </xf>
    <xf numFmtId="0" fontId="38" fillId="0" borderId="6" xfId="0" applyFont="1" applyBorder="1" applyAlignment="1" applyProtection="1">
      <alignment horizontal="left" vertical="center" wrapText="1"/>
      <protection locked="0" hidden="1"/>
    </xf>
    <xf numFmtId="0" fontId="38" fillId="0" borderId="13" xfId="0" applyFont="1" applyBorder="1" applyAlignment="1" applyProtection="1">
      <alignment vertical="center" wrapText="1"/>
      <protection locked="0" hidden="1"/>
    </xf>
    <xf numFmtId="164" fontId="38" fillId="0" borderId="6" xfId="28" applyNumberFormat="1" applyFont="1" applyBorder="1" applyAlignment="1" applyProtection="1">
      <alignment horizontal="left" vertical="center" wrapText="1"/>
      <protection locked="0" hidden="1"/>
    </xf>
    <xf numFmtId="0" fontId="37" fillId="0" borderId="31" xfId="0" applyFont="1" applyBorder="1" applyAlignment="1" applyProtection="1">
      <alignment vertical="center" wrapText="1"/>
      <protection locked="0" hidden="1"/>
    </xf>
    <xf numFmtId="0" fontId="37" fillId="0" borderId="28" xfId="0" applyFont="1" applyBorder="1" applyAlignment="1" applyProtection="1">
      <alignment vertical="center" wrapText="1"/>
      <protection locked="0" hidden="1"/>
    </xf>
    <xf numFmtId="0" fontId="38" fillId="0" borderId="49" xfId="0" applyFont="1" applyBorder="1" applyAlignment="1" applyProtection="1">
      <alignment horizontal="left" vertical="center" wrapText="1"/>
      <protection locked="0" hidden="1"/>
    </xf>
    <xf numFmtId="0" fontId="39" fillId="0" borderId="1" xfId="0" applyFont="1" applyBorder="1" applyAlignment="1" applyProtection="1">
      <alignment horizontal="center" vertical="center" wrapText="1"/>
      <protection locked="0" hidden="1"/>
    </xf>
    <xf numFmtId="0" fontId="39" fillId="0" borderId="2" xfId="0" applyFont="1" applyBorder="1" applyAlignment="1" applyProtection="1">
      <alignment horizontal="center" vertical="center" wrapText="1"/>
      <protection locked="0" hidden="1"/>
    </xf>
    <xf numFmtId="0" fontId="39" fillId="0" borderId="11" xfId="0" applyFont="1" applyBorder="1" applyAlignment="1" applyProtection="1">
      <alignment horizontal="center" vertical="center" wrapText="1"/>
      <protection locked="0" hidden="1"/>
    </xf>
    <xf numFmtId="0" fontId="39" fillId="0" borderId="7" xfId="0" applyFont="1" applyBorder="1" applyAlignment="1" applyProtection="1">
      <alignment horizontal="center" vertical="center" wrapText="1"/>
      <protection locked="0" hidden="1"/>
    </xf>
    <xf numFmtId="0" fontId="53" fillId="2" borderId="8" xfId="0" applyFont="1" applyFill="1" applyBorder="1" applyAlignment="1" applyProtection="1">
      <alignment horizontal="center" vertical="center" wrapText="1"/>
      <protection locked="0" hidden="1"/>
    </xf>
    <xf numFmtId="0" fontId="53" fillId="2" borderId="25" xfId="0" applyFont="1" applyFill="1" applyBorder="1" applyAlignment="1" applyProtection="1">
      <alignment horizontal="center" vertical="center" wrapText="1"/>
      <protection locked="0" hidden="1"/>
    </xf>
    <xf numFmtId="0" fontId="53" fillId="2" borderId="33" xfId="0" applyFont="1" applyFill="1" applyBorder="1" applyAlignment="1" applyProtection="1">
      <alignment horizontal="center" vertical="center" wrapText="1"/>
      <protection locked="0" hidden="1"/>
    </xf>
    <xf numFmtId="0" fontId="38" fillId="0" borderId="6" xfId="0" applyFont="1" applyBorder="1" applyAlignment="1" applyProtection="1">
      <alignment vertical="center" wrapText="1"/>
      <protection locked="0" hidden="1"/>
    </xf>
    <xf numFmtId="164" fontId="35" fillId="0" borderId="6" xfId="28" applyNumberFormat="1" applyFont="1" applyBorder="1" applyAlignment="1" applyProtection="1">
      <alignment horizontal="right" vertical="center" wrapText="1" indent="3"/>
      <protection locked="0" hidden="1"/>
    </xf>
    <xf numFmtId="0" fontId="38" fillId="3" borderId="6" xfId="0" applyFont="1" applyFill="1" applyBorder="1" applyAlignment="1" applyProtection="1">
      <alignment horizontal="center" vertical="center" wrapText="1"/>
      <protection locked="0" hidden="1"/>
    </xf>
    <xf numFmtId="0" fontId="38" fillId="3" borderId="30" xfId="0" applyFont="1" applyFill="1" applyBorder="1" applyAlignment="1" applyProtection="1">
      <alignment horizontal="center" vertical="center" wrapText="1"/>
      <protection locked="0" hidden="1"/>
    </xf>
    <xf numFmtId="0" fontId="34" fillId="0" borderId="40" xfId="0" applyFont="1" applyBorder="1" applyAlignment="1" applyProtection="1">
      <alignment horizontal="left" vertical="center" wrapText="1"/>
      <protection locked="0" hidden="1"/>
    </xf>
    <xf numFmtId="0" fontId="34" fillId="0" borderId="39" xfId="0" applyFont="1" applyBorder="1" applyAlignment="1" applyProtection="1">
      <alignment horizontal="left" vertical="center" wrapText="1"/>
      <protection locked="0" hidden="1"/>
    </xf>
    <xf numFmtId="0" fontId="34" fillId="0" borderId="41" xfId="0" applyFont="1" applyBorder="1" applyAlignment="1" applyProtection="1">
      <alignment horizontal="left" vertical="center" wrapText="1"/>
      <protection locked="0" hidden="1"/>
    </xf>
    <xf numFmtId="0" fontId="1" fillId="0" borderId="4" xfId="0" applyFont="1" applyBorder="1" applyAlignment="1" applyProtection="1">
      <alignment horizontal="center" vertical="center"/>
      <protection locked="0" hidden="1"/>
    </xf>
    <xf numFmtId="0" fontId="1" fillId="0" borderId="0" xfId="0" applyFont="1" applyBorder="1" applyAlignment="1" applyProtection="1">
      <alignment horizontal="center" vertical="center"/>
      <protection locked="0" hidden="1"/>
    </xf>
    <xf numFmtId="0" fontId="1" fillId="0" borderId="5" xfId="0" applyFont="1" applyBorder="1" applyAlignment="1" applyProtection="1">
      <alignment horizontal="center" vertical="center"/>
      <protection locked="0" hidden="1"/>
    </xf>
    <xf numFmtId="0" fontId="1" fillId="0" borderId="31" xfId="0" applyFont="1" applyBorder="1" applyAlignment="1" applyProtection="1">
      <alignment horizontal="center" vertical="center"/>
      <protection locked="0" hidden="1"/>
    </xf>
    <xf numFmtId="0" fontId="1" fillId="0" borderId="28" xfId="0" applyFont="1" applyBorder="1" applyAlignment="1" applyProtection="1">
      <alignment horizontal="center" vertical="center"/>
      <protection locked="0" hidden="1"/>
    </xf>
    <xf numFmtId="0" fontId="1" fillId="0" borderId="52" xfId="0" applyFont="1" applyBorder="1" applyAlignment="1" applyProtection="1">
      <alignment horizontal="center" vertical="center"/>
      <protection locked="0" hidden="1"/>
    </xf>
    <xf numFmtId="0" fontId="39" fillId="0" borderId="6" xfId="0" applyFont="1" applyBorder="1" applyAlignment="1" applyProtection="1">
      <alignment horizontal="center" vertical="center" textRotation="90" wrapText="1"/>
      <protection locked="0" hidden="1"/>
    </xf>
    <xf numFmtId="0" fontId="1" fillId="0" borderId="27" xfId="0" applyFont="1" applyBorder="1" applyAlignment="1" applyProtection="1">
      <alignment horizontal="center" vertical="center"/>
      <protection locked="0" hidden="1"/>
    </xf>
    <xf numFmtId="0" fontId="1" fillId="0" borderId="29" xfId="0" applyFont="1" applyBorder="1" applyAlignment="1" applyProtection="1">
      <alignment horizontal="center" vertical="center"/>
      <protection locked="0" hidden="1"/>
    </xf>
    <xf numFmtId="164" fontId="35" fillId="0" borderId="13" xfId="28" applyNumberFormat="1" applyFont="1" applyBorder="1" applyAlignment="1" applyProtection="1">
      <alignment horizontal="right" vertical="center" wrapText="1" indent="2"/>
      <protection locked="0" hidden="1"/>
    </xf>
    <xf numFmtId="164" fontId="35" fillId="0" borderId="54" xfId="28" applyNumberFormat="1" applyFont="1" applyBorder="1" applyAlignment="1" applyProtection="1">
      <alignment horizontal="right" vertical="center" wrapText="1" indent="2"/>
      <protection locked="0" hidden="1"/>
    </xf>
    <xf numFmtId="0" fontId="38" fillId="2" borderId="6" xfId="0" applyFont="1" applyFill="1" applyBorder="1" applyAlignment="1" applyProtection="1">
      <alignment horizontal="left" vertical="center" wrapText="1"/>
      <protection locked="0" hidden="1"/>
    </xf>
    <xf numFmtId="0" fontId="39" fillId="0" borderId="8" xfId="0" applyFont="1" applyBorder="1" applyAlignment="1" applyProtection="1">
      <alignment horizontal="center" vertical="center" textRotation="90" wrapText="1"/>
      <protection locked="0" hidden="1"/>
    </xf>
    <xf numFmtId="0" fontId="39" fillId="0" borderId="25" xfId="0" applyFont="1" applyBorder="1" applyAlignment="1" applyProtection="1">
      <alignment horizontal="center" vertical="center" textRotation="90" wrapText="1"/>
      <protection locked="0" hidden="1"/>
    </xf>
    <xf numFmtId="0" fontId="39" fillId="0" borderId="33" xfId="0" applyFont="1" applyBorder="1" applyAlignment="1" applyProtection="1">
      <alignment horizontal="center" vertical="center" textRotation="90" wrapText="1"/>
      <protection locked="0" hidden="1"/>
    </xf>
    <xf numFmtId="0" fontId="53" fillId="0" borderId="6" xfId="0" applyFont="1" applyBorder="1" applyAlignment="1" applyProtection="1">
      <alignment horizontal="center" vertical="center" wrapText="1"/>
      <protection locked="0" hidden="1"/>
    </xf>
    <xf numFmtId="0" fontId="41" fillId="0" borderId="12" xfId="0" applyFont="1" applyBorder="1" applyAlignment="1" applyProtection="1">
      <alignment horizontal="center" vertical="center" wrapText="1"/>
      <protection locked="0" hidden="1"/>
    </xf>
    <xf numFmtId="0" fontId="41" fillId="0" borderId="10" xfId="0" applyFont="1" applyBorder="1" applyAlignment="1" applyProtection="1">
      <alignment horizontal="center" vertical="center" wrapText="1"/>
      <protection locked="0" hidden="1"/>
    </xf>
    <xf numFmtId="0" fontId="53" fillId="0" borderId="10" xfId="0" applyFont="1" applyBorder="1" applyAlignment="1" applyProtection="1">
      <alignment horizontal="center" vertical="center" wrapText="1"/>
      <protection locked="0" hidden="1"/>
    </xf>
    <xf numFmtId="0" fontId="56" fillId="4" borderId="53" xfId="0" applyFont="1" applyFill="1" applyBorder="1" applyAlignment="1" applyProtection="1">
      <alignment horizontal="center" vertical="center" wrapText="1"/>
      <protection locked="0" hidden="1"/>
    </xf>
    <xf numFmtId="0" fontId="56" fillId="4" borderId="39" xfId="0" applyFont="1" applyFill="1" applyBorder="1" applyAlignment="1" applyProtection="1">
      <alignment horizontal="center" vertical="center" wrapText="1"/>
      <protection locked="0" hidden="1"/>
    </xf>
    <xf numFmtId="0" fontId="56" fillId="4" borderId="41" xfId="0" applyFont="1" applyFill="1" applyBorder="1" applyAlignment="1" applyProtection="1">
      <alignment horizontal="center" vertical="center" wrapText="1"/>
      <protection locked="0" hidden="1"/>
    </xf>
    <xf numFmtId="0" fontId="35" fillId="0" borderId="10" xfId="0" applyFont="1" applyBorder="1" applyAlignment="1" applyProtection="1">
      <alignment horizontal="center" vertical="center" wrapText="1"/>
      <protection locked="0" hidden="1"/>
    </xf>
    <xf numFmtId="0" fontId="39" fillId="0" borderId="26" xfId="0" applyFont="1" applyBorder="1" applyAlignment="1" applyProtection="1">
      <alignment horizontal="center" vertical="center" textRotation="90" wrapText="1"/>
      <protection locked="0" hidden="1"/>
    </xf>
    <xf numFmtId="0" fontId="35" fillId="0" borderId="33" xfId="0" applyFont="1" applyBorder="1" applyAlignment="1" applyProtection="1">
      <alignment horizontal="center" vertical="center" wrapText="1"/>
      <protection locked="0" hidden="1"/>
    </xf>
    <xf numFmtId="0" fontId="35" fillId="0" borderId="6" xfId="0" applyFont="1" applyBorder="1" applyAlignment="1" applyProtection="1">
      <alignment horizontal="center" vertical="center" wrapText="1"/>
      <protection locked="0" hidden="1"/>
    </xf>
    <xf numFmtId="0" fontId="37" fillId="0" borderId="4" xfId="0" applyFont="1" applyBorder="1" applyAlignment="1" applyProtection="1">
      <alignment vertical="center" wrapText="1"/>
      <protection locked="0" hidden="1"/>
    </xf>
    <xf numFmtId="0" fontId="37" fillId="0" borderId="0" xfId="0" applyFont="1" applyBorder="1" applyAlignment="1" applyProtection="1">
      <alignment vertical="center" wrapText="1"/>
      <protection locked="0" hidden="1"/>
    </xf>
    <xf numFmtId="0" fontId="38" fillId="3" borderId="49" xfId="0" applyFont="1" applyFill="1" applyBorder="1" applyAlignment="1" applyProtection="1">
      <alignment horizontal="center" vertical="center" wrapText="1"/>
      <protection locked="0" hidden="1"/>
    </xf>
    <xf numFmtId="0" fontId="38" fillId="3" borderId="50" xfId="0" applyFont="1" applyFill="1" applyBorder="1" applyAlignment="1" applyProtection="1">
      <alignment horizontal="center" vertical="center" wrapText="1"/>
      <protection locked="0" hidden="1"/>
    </xf>
    <xf numFmtId="0" fontId="38" fillId="0" borderId="49" xfId="0" applyFont="1" applyBorder="1" applyAlignment="1" applyProtection="1">
      <alignment horizontal="center" vertical="center" wrapText="1"/>
      <protection locked="0" hidden="1"/>
    </xf>
    <xf numFmtId="0" fontId="38" fillId="0" borderId="30" xfId="0" applyFont="1" applyBorder="1" applyAlignment="1" applyProtection="1">
      <alignment horizontal="center" vertical="center" wrapText="1"/>
      <protection locked="0" hidden="1"/>
    </xf>
    <xf numFmtId="0" fontId="53" fillId="0" borderId="30" xfId="0" applyFont="1" applyBorder="1" applyAlignment="1" applyProtection="1">
      <alignment horizontal="center" vertical="center" wrapText="1"/>
      <protection locked="0" hidden="1"/>
    </xf>
    <xf numFmtId="0" fontId="39" fillId="0" borderId="43" xfId="0" applyFont="1" applyBorder="1" applyAlignment="1" applyProtection="1">
      <alignment horizontal="center" vertical="center" textRotation="90" wrapText="1"/>
      <protection locked="0" hidden="1"/>
    </xf>
    <xf numFmtId="0" fontId="39" fillId="0" borderId="55" xfId="0" applyFont="1" applyBorder="1" applyAlignment="1" applyProtection="1">
      <alignment horizontal="center" vertical="center" textRotation="90" wrapText="1"/>
      <protection locked="0" hidden="1"/>
    </xf>
    <xf numFmtId="0" fontId="39" fillId="0" borderId="10" xfId="0" applyFont="1" applyBorder="1" applyAlignment="1" applyProtection="1">
      <alignment horizontal="center" vertical="center" textRotation="90" wrapText="1"/>
      <protection locked="0" hidden="1"/>
    </xf>
    <xf numFmtId="0" fontId="56" fillId="4" borderId="40" xfId="0" applyFont="1" applyFill="1" applyBorder="1" applyAlignment="1" applyProtection="1">
      <alignment horizontal="center" vertical="center" wrapText="1"/>
      <protection locked="0" hidden="1"/>
    </xf>
    <xf numFmtId="0" fontId="38" fillId="0" borderId="6" xfId="0" applyFont="1" applyBorder="1" applyAlignment="1" applyProtection="1">
      <alignment horizontal="left" wrapText="1"/>
      <protection locked="0" hidden="1"/>
    </xf>
    <xf numFmtId="0" fontId="38" fillId="0" borderId="30" xfId="0" applyFont="1" applyBorder="1" applyAlignment="1" applyProtection="1">
      <alignment horizontal="left" wrapText="1"/>
      <protection locked="0" hidden="1"/>
    </xf>
    <xf numFmtId="0" fontId="39" fillId="0" borderId="46" xfId="0" applyFont="1" applyBorder="1" applyAlignment="1" applyProtection="1">
      <alignment horizontal="center" vertical="center" textRotation="90" wrapText="1"/>
      <protection locked="0" hidden="1"/>
    </xf>
    <xf numFmtId="0" fontId="39" fillId="0" borderId="47" xfId="0" applyFont="1" applyBorder="1" applyAlignment="1" applyProtection="1">
      <alignment horizontal="center" vertical="center" textRotation="90" wrapText="1"/>
      <protection locked="0" hidden="1"/>
    </xf>
    <xf numFmtId="0" fontId="39" fillId="0" borderId="42" xfId="0" applyFont="1" applyBorder="1" applyAlignment="1" applyProtection="1">
      <alignment horizontal="center" vertical="center" textRotation="90" wrapText="1"/>
      <protection locked="0" hidden="1"/>
    </xf>
    <xf numFmtId="0" fontId="38" fillId="2" borderId="10" xfId="0" applyFont="1" applyFill="1" applyBorder="1" applyAlignment="1" applyProtection="1">
      <alignment horizontal="left" wrapText="1"/>
      <protection locked="0" hidden="1"/>
    </xf>
    <xf numFmtId="0" fontId="38" fillId="2" borderId="56" xfId="0" applyFont="1" applyFill="1" applyBorder="1" applyAlignment="1" applyProtection="1">
      <alignment horizontal="left" wrapText="1"/>
      <protection locked="0" hidden="1"/>
    </xf>
    <xf numFmtId="0" fontId="39" fillId="0" borderId="51" xfId="0" applyFont="1" applyBorder="1" applyAlignment="1" applyProtection="1">
      <alignment horizontal="center" vertical="center" textRotation="90" wrapText="1"/>
      <protection locked="0" hidden="1"/>
    </xf>
    <xf numFmtId="0" fontId="39" fillId="0" borderId="49" xfId="0" applyFont="1" applyBorder="1" applyAlignment="1" applyProtection="1">
      <alignment horizontal="center" vertical="center" textRotation="90" wrapText="1"/>
      <protection locked="0" hidden="1"/>
    </xf>
    <xf numFmtId="0" fontId="53" fillId="0" borderId="8" xfId="0" applyFont="1" applyBorder="1" applyAlignment="1" applyProtection="1">
      <alignment horizontal="center" vertical="center" wrapText="1"/>
      <protection locked="0" hidden="1"/>
    </xf>
    <xf numFmtId="0" fontId="35" fillId="0" borderId="12" xfId="0" applyFont="1" applyBorder="1" applyAlignment="1" applyProtection="1">
      <alignment horizontal="center" vertical="center" wrapText="1"/>
      <protection locked="0" hidden="1"/>
    </xf>
    <xf numFmtId="0" fontId="38" fillId="0" borderId="30" xfId="0" applyFont="1" applyBorder="1" applyAlignment="1" applyProtection="1">
      <alignment horizontal="left" vertical="center" wrapText="1"/>
      <protection locked="0" hidden="1"/>
    </xf>
    <xf numFmtId="0" fontId="38" fillId="2" borderId="10" xfId="0" applyFont="1" applyFill="1" applyBorder="1" applyAlignment="1" applyProtection="1">
      <alignment vertical="center" wrapText="1"/>
      <protection locked="0" hidden="1"/>
    </xf>
    <xf numFmtId="0" fontId="39" fillId="0" borderId="46" xfId="0" applyFont="1" applyBorder="1" applyAlignment="1" applyProtection="1">
      <alignment horizontal="left" vertical="top" wrapText="1"/>
      <protection locked="0" hidden="1"/>
    </xf>
    <xf numFmtId="0" fontId="39" fillId="0" borderId="2" xfId="0" applyFont="1" applyBorder="1" applyAlignment="1" applyProtection="1">
      <alignment horizontal="left" vertical="top" wrapText="1"/>
      <protection locked="0" hidden="1"/>
    </xf>
    <xf numFmtId="0" fontId="39" fillId="0" borderId="3" xfId="0" applyFont="1" applyBorder="1" applyAlignment="1" applyProtection="1">
      <alignment horizontal="left" vertical="top" wrapText="1"/>
      <protection locked="0" hidden="1"/>
    </xf>
    <xf numFmtId="0" fontId="39" fillId="0" borderId="47" xfId="0" applyFont="1" applyBorder="1" applyAlignment="1" applyProtection="1">
      <alignment horizontal="left" vertical="top" wrapText="1"/>
      <protection locked="0" hidden="1"/>
    </xf>
    <xf numFmtId="0" fontId="39" fillId="0" borderId="0" xfId="0" applyFont="1" applyBorder="1" applyAlignment="1" applyProtection="1">
      <alignment horizontal="left" vertical="top" wrapText="1"/>
      <protection locked="0" hidden="1"/>
    </xf>
    <xf numFmtId="0" fontId="39" fillId="0" borderId="5" xfId="0" applyFont="1" applyBorder="1" applyAlignment="1" applyProtection="1">
      <alignment horizontal="left" vertical="top" wrapText="1"/>
      <protection locked="0" hidden="1"/>
    </xf>
    <xf numFmtId="0" fontId="39" fillId="0" borderId="42" xfId="0" applyFont="1" applyBorder="1" applyAlignment="1" applyProtection="1">
      <alignment horizontal="left" vertical="top" wrapText="1"/>
      <protection locked="0" hidden="1"/>
    </xf>
    <xf numFmtId="0" fontId="39" fillId="0" borderId="28" xfId="0" applyFont="1" applyBorder="1" applyAlignment="1" applyProtection="1">
      <alignment horizontal="left" vertical="top" wrapText="1"/>
      <protection locked="0" hidden="1"/>
    </xf>
    <xf numFmtId="0" fontId="39" fillId="0" borderId="52" xfId="0" applyFont="1" applyBorder="1" applyAlignment="1" applyProtection="1">
      <alignment horizontal="left" vertical="top" wrapText="1"/>
      <protection locked="0" hidden="1"/>
    </xf>
    <xf numFmtId="0" fontId="39" fillId="0" borderId="1" xfId="0" applyFont="1" applyBorder="1" applyAlignment="1" applyProtection="1">
      <alignment vertical="center" wrapText="1"/>
      <protection locked="0" hidden="1"/>
    </xf>
    <xf numFmtId="0" fontId="39" fillId="0" borderId="2" xfId="0" applyFont="1" applyBorder="1" applyAlignment="1" applyProtection="1">
      <alignment vertical="center" wrapText="1"/>
      <protection locked="0" hidden="1"/>
    </xf>
    <xf numFmtId="0" fontId="53" fillId="0" borderId="43" xfId="0" applyFont="1" applyBorder="1" applyAlignment="1" applyProtection="1">
      <alignment horizontal="center" vertical="center" textRotation="90" wrapText="1"/>
      <protection locked="0" hidden="1"/>
    </xf>
    <xf numFmtId="0" fontId="53" fillId="0" borderId="6" xfId="0" applyFont="1" applyBorder="1" applyAlignment="1" applyProtection="1">
      <alignment horizontal="center" vertical="center" textRotation="90" wrapText="1"/>
      <protection locked="0" hidden="1"/>
    </xf>
    <xf numFmtId="164" fontId="41" fillId="0" borderId="6" xfId="28" applyNumberFormat="1" applyFont="1" applyBorder="1" applyAlignment="1" applyProtection="1">
      <alignment horizontal="right" vertical="center" wrapText="1" indent="1"/>
      <protection locked="0" hidden="1"/>
    </xf>
    <xf numFmtId="0" fontId="51" fillId="0" borderId="40" xfId="0" applyFont="1" applyBorder="1" applyAlignment="1" applyProtection="1">
      <alignment horizontal="center" vertical="center" textRotation="90" wrapText="1"/>
      <protection locked="0" hidden="1"/>
    </xf>
    <xf numFmtId="0" fontId="51" fillId="0" borderId="57" xfId="0" applyFont="1" applyBorder="1" applyAlignment="1" applyProtection="1">
      <alignment horizontal="center" vertical="center" textRotation="90" wrapText="1"/>
      <protection locked="0" hidden="1"/>
    </xf>
    <xf numFmtId="0" fontId="51" fillId="0" borderId="42" xfId="0" applyFont="1" applyBorder="1" applyAlignment="1" applyProtection="1">
      <alignment horizontal="center" vertical="center" textRotation="90" wrapText="1"/>
      <protection locked="0" hidden="1"/>
    </xf>
    <xf numFmtId="0" fontId="51" fillId="0" borderId="52" xfId="0" applyFont="1" applyBorder="1" applyAlignment="1" applyProtection="1">
      <alignment horizontal="center" vertical="center" textRotation="90" wrapText="1"/>
      <protection locked="0" hidden="1"/>
    </xf>
    <xf numFmtId="0" fontId="53" fillId="0" borderId="51" xfId="0" applyFont="1" applyBorder="1" applyAlignment="1" applyProtection="1">
      <alignment horizontal="center" vertical="center" textRotation="90" wrapText="1"/>
      <protection locked="0" hidden="1"/>
    </xf>
    <xf numFmtId="0" fontId="53" fillId="0" borderId="49" xfId="0" applyFont="1" applyBorder="1" applyAlignment="1" applyProtection="1">
      <alignment horizontal="center" vertical="center" textRotation="90" wrapText="1"/>
      <protection locked="0" hidden="1"/>
    </xf>
    <xf numFmtId="0" fontId="38" fillId="0" borderId="39" xfId="0" applyFont="1" applyBorder="1" applyAlignment="1" applyProtection="1">
      <alignment horizontal="left" vertical="center" wrapText="1"/>
      <protection locked="0" hidden="1"/>
    </xf>
    <xf numFmtId="0" fontId="38" fillId="0" borderId="57" xfId="0" applyFont="1" applyBorder="1" applyAlignment="1" applyProtection="1">
      <alignment horizontal="left" vertical="center" wrapText="1"/>
      <protection locked="0" hidden="1"/>
    </xf>
    <xf numFmtId="0" fontId="63" fillId="0" borderId="7" xfId="0" applyFont="1" applyBorder="1" applyAlignment="1" applyProtection="1">
      <alignment horizontal="center" vertical="center" wrapText="1"/>
      <protection locked="0" hidden="1"/>
    </xf>
    <xf numFmtId="0" fontId="63" fillId="0" borderId="15" xfId="0" applyFont="1" applyBorder="1" applyAlignment="1" applyProtection="1">
      <alignment horizontal="center" vertical="center" wrapText="1"/>
      <protection locked="0" hidden="1"/>
    </xf>
    <xf numFmtId="0" fontId="60" fillId="0" borderId="4" xfId="0" applyFont="1" applyBorder="1" applyAlignment="1" applyProtection="1">
      <alignment horizontal="center" vertical="center" wrapText="1"/>
      <protection locked="0" hidden="1"/>
    </xf>
    <xf numFmtId="0" fontId="60" fillId="0" borderId="0" xfId="0" applyFont="1" applyBorder="1" applyAlignment="1" applyProtection="1">
      <alignment horizontal="center" vertical="center" wrapText="1"/>
      <protection locked="0" hidden="1"/>
    </xf>
    <xf numFmtId="0" fontId="60" fillId="0" borderId="5" xfId="0" applyFont="1" applyBorder="1" applyAlignment="1" applyProtection="1">
      <alignment horizontal="center" vertical="center" wrapText="1"/>
      <protection locked="0" hidden="1"/>
    </xf>
    <xf numFmtId="0" fontId="60" fillId="0" borderId="31" xfId="0" applyFont="1" applyBorder="1" applyAlignment="1" applyProtection="1">
      <alignment horizontal="center" vertical="center" wrapText="1"/>
      <protection locked="0" hidden="1"/>
    </xf>
    <xf numFmtId="0" fontId="60" fillId="0" borderId="28" xfId="0" applyFont="1" applyBorder="1" applyAlignment="1" applyProtection="1">
      <alignment horizontal="center" vertical="center" wrapText="1"/>
      <protection locked="0" hidden="1"/>
    </xf>
    <xf numFmtId="0" fontId="60" fillId="0" borderId="52" xfId="0" applyFont="1" applyBorder="1" applyAlignment="1" applyProtection="1">
      <alignment horizontal="center" vertical="center" wrapText="1"/>
      <protection locked="0" hidden="1"/>
    </xf>
    <xf numFmtId="0" fontId="38" fillId="0" borderId="0" xfId="0" applyFont="1" applyBorder="1" applyAlignment="1" applyProtection="1">
      <alignment horizontal="left" vertical="center" wrapText="1"/>
      <protection locked="0" hidden="1"/>
    </xf>
    <xf numFmtId="0" fontId="63" fillId="0" borderId="4" xfId="0" applyFont="1" applyBorder="1" applyAlignment="1" applyProtection="1">
      <alignment horizontal="center" vertical="center" wrapText="1"/>
      <protection locked="0" hidden="1"/>
    </xf>
    <xf numFmtId="0" fontId="63" fillId="0" borderId="0" xfId="0" applyFont="1" applyBorder="1" applyAlignment="1" applyProtection="1">
      <alignment horizontal="center" vertical="center" wrapText="1"/>
      <protection locked="0" hidden="1"/>
    </xf>
    <xf numFmtId="0" fontId="63" fillId="0" borderId="5" xfId="0" applyFont="1" applyBorder="1" applyAlignment="1" applyProtection="1">
      <alignment horizontal="center" vertical="center" wrapText="1"/>
      <protection locked="0" hidden="1"/>
    </xf>
    <xf numFmtId="0" fontId="38" fillId="0" borderId="1" xfId="0" applyFont="1" applyBorder="1" applyAlignment="1" applyProtection="1">
      <alignment horizontal="center" vertical="center" wrapText="1"/>
      <protection locked="0" hidden="1"/>
    </xf>
    <xf numFmtId="0" fontId="38" fillId="0" borderId="3" xfId="0" applyFont="1" applyBorder="1" applyAlignment="1" applyProtection="1">
      <alignment horizontal="center" vertical="center" wrapText="1"/>
      <protection locked="0" hidden="1"/>
    </xf>
    <xf numFmtId="0" fontId="38" fillId="0" borderId="4" xfId="0" applyFont="1" applyBorder="1" applyAlignment="1" applyProtection="1">
      <alignment horizontal="center" vertical="center" wrapText="1"/>
      <protection locked="0" hidden="1"/>
    </xf>
    <xf numFmtId="0" fontId="38" fillId="0" borderId="5" xfId="0" applyFont="1" applyBorder="1" applyAlignment="1" applyProtection="1">
      <alignment horizontal="center" vertical="center" wrapText="1"/>
      <protection locked="0" hidden="1"/>
    </xf>
    <xf numFmtId="0" fontId="38" fillId="0" borderId="11" xfId="0" applyFont="1" applyBorder="1" applyAlignment="1" applyProtection="1">
      <alignment horizontal="center" vertical="center" wrapText="1"/>
      <protection locked="0" hidden="1"/>
    </xf>
    <xf numFmtId="0" fontId="38" fillId="0" borderId="15" xfId="0" applyFont="1" applyBorder="1" applyAlignment="1" applyProtection="1">
      <alignment horizontal="center" vertical="center" wrapText="1"/>
      <protection locked="0" hidden="1"/>
    </xf>
    <xf numFmtId="0" fontId="66" fillId="0" borderId="25" xfId="0" applyFont="1" applyBorder="1" applyAlignment="1" applyProtection="1">
      <alignment horizontal="center" vertical="center"/>
      <protection locked="0" hidden="1"/>
    </xf>
    <xf numFmtId="0" fontId="38" fillId="0" borderId="1" xfId="0" applyFont="1" applyBorder="1" applyAlignment="1" applyProtection="1">
      <alignment horizontal="left" vertical="center" wrapText="1"/>
      <protection locked="0" hidden="1"/>
    </xf>
    <xf numFmtId="0" fontId="38" fillId="0" borderId="2" xfId="0" applyFont="1" applyBorder="1" applyAlignment="1" applyProtection="1">
      <alignment horizontal="left" vertical="center" wrapText="1"/>
      <protection locked="0" hidden="1"/>
    </xf>
    <xf numFmtId="0" fontId="38" fillId="0" borderId="11" xfId="0" applyFont="1" applyBorder="1" applyAlignment="1" applyProtection="1">
      <alignment horizontal="left" vertical="center" wrapText="1"/>
      <protection locked="0" hidden="1"/>
    </xf>
    <xf numFmtId="0" fontId="38" fillId="0" borderId="7" xfId="0" applyFont="1" applyBorder="1" applyAlignment="1" applyProtection="1">
      <alignment horizontal="left" vertical="center" wrapText="1"/>
      <protection locked="0" hidden="1"/>
    </xf>
    <xf numFmtId="0" fontId="38" fillId="0" borderId="25" xfId="0" applyFont="1" applyBorder="1" applyAlignment="1" applyProtection="1">
      <alignment horizontal="left" vertical="center"/>
      <protection locked="0" hidden="1"/>
    </xf>
    <xf numFmtId="0" fontId="38" fillId="0" borderId="26" xfId="0" applyFont="1" applyBorder="1" applyAlignment="1" applyProtection="1">
      <alignment horizontal="left" vertical="center"/>
      <protection locked="0" hidden="1"/>
    </xf>
    <xf numFmtId="0" fontId="38" fillId="0" borderId="8" xfId="0" applyFont="1" applyBorder="1" applyAlignment="1" applyProtection="1">
      <alignment horizontal="left" vertical="center"/>
      <protection locked="0" hidden="1"/>
    </xf>
    <xf numFmtId="0" fontId="38" fillId="0" borderId="3" xfId="0" applyFont="1" applyBorder="1" applyAlignment="1" applyProtection="1">
      <alignment horizontal="left" vertical="center" wrapText="1"/>
      <protection locked="0" hidden="1"/>
    </xf>
    <xf numFmtId="0" fontId="38" fillId="0" borderId="15" xfId="0" applyFont="1" applyBorder="1" applyAlignment="1" applyProtection="1">
      <alignment horizontal="left" vertical="center" wrapText="1"/>
      <protection locked="0" hidden="1"/>
    </xf>
    <xf numFmtId="0" fontId="35" fillId="3" borderId="6" xfId="0" applyFont="1" applyFill="1" applyBorder="1" applyAlignment="1" applyProtection="1">
      <alignment vertical="center" wrapText="1"/>
      <protection locked="0" hidden="1"/>
    </xf>
    <xf numFmtId="0" fontId="35" fillId="3" borderId="30" xfId="0" applyFont="1" applyFill="1" applyBorder="1" applyAlignment="1" applyProtection="1">
      <alignment vertical="center" wrapText="1"/>
      <protection locked="0" hidden="1"/>
    </xf>
    <xf numFmtId="0" fontId="63" fillId="0" borderId="11" xfId="0" applyFont="1" applyBorder="1" applyAlignment="1" applyProtection="1">
      <alignment horizontal="center" vertical="center" wrapText="1"/>
      <protection locked="0" hidden="1"/>
    </xf>
    <xf numFmtId="0" fontId="38" fillId="0" borderId="16" xfId="0" applyFont="1" applyBorder="1" applyAlignment="1" applyProtection="1">
      <alignment horizontal="left" vertical="center" wrapText="1"/>
      <protection locked="0" hidden="1"/>
    </xf>
    <xf numFmtId="0" fontId="38" fillId="0" borderId="17" xfId="0" applyFont="1" applyBorder="1" applyAlignment="1" applyProtection="1">
      <alignment horizontal="left" vertical="center" wrapText="1"/>
      <protection locked="0" hidden="1"/>
    </xf>
    <xf numFmtId="0" fontId="38" fillId="0" borderId="25" xfId="0" applyFont="1" applyBorder="1" applyAlignment="1" applyProtection="1">
      <alignment horizontal="center" vertical="center" wrapText="1"/>
      <protection locked="0" hidden="1"/>
    </xf>
    <xf numFmtId="0" fontId="38" fillId="0" borderId="7" xfId="0" applyFont="1" applyBorder="1" applyAlignment="1" applyProtection="1">
      <alignment horizontal="center" vertical="center" wrapText="1"/>
      <protection locked="0" hidden="1"/>
    </xf>
    <xf numFmtId="0" fontId="65" fillId="0" borderId="7" xfId="0" applyFont="1" applyBorder="1" applyAlignment="1" applyProtection="1">
      <alignment horizontal="center" vertical="center" wrapText="1"/>
      <protection locked="0" hidden="1"/>
    </xf>
    <xf numFmtId="0" fontId="38" fillId="0" borderId="17" xfId="0" applyFont="1" applyBorder="1" applyAlignment="1" applyProtection="1">
      <alignment horizontal="center" vertical="center" wrapText="1"/>
      <protection locked="0" hidden="1"/>
    </xf>
    <xf numFmtId="0" fontId="65" fillId="0" borderId="11" xfId="0" applyFont="1" applyBorder="1" applyAlignment="1" applyProtection="1">
      <alignment horizontal="center" vertical="center" wrapText="1"/>
      <protection locked="0" hidden="1"/>
    </xf>
    <xf numFmtId="0" fontId="38" fillId="0" borderId="58" xfId="0" applyFont="1" applyBorder="1" applyAlignment="1" applyProtection="1">
      <alignment horizontal="left" vertical="center" wrapText="1"/>
      <protection locked="0" hidden="1"/>
    </xf>
    <xf numFmtId="0" fontId="59" fillId="0" borderId="10" xfId="0" applyFont="1" applyBorder="1" applyAlignment="1" applyProtection="1">
      <alignment horizontal="center" vertical="center"/>
      <protection locked="0" hidden="1"/>
    </xf>
    <xf numFmtId="0" fontId="59" fillId="0" borderId="56" xfId="0" applyFont="1" applyBorder="1" applyAlignment="1" applyProtection="1">
      <alignment horizontal="center" vertical="center"/>
      <protection locked="0" hidden="1"/>
    </xf>
    <xf numFmtId="0" fontId="59" fillId="0" borderId="9" xfId="0" applyFont="1" applyBorder="1" applyAlignment="1" applyProtection="1">
      <alignment horizontal="center" vertical="center"/>
      <protection locked="0" hidden="1"/>
    </xf>
    <xf numFmtId="0" fontId="59" fillId="0" borderId="59" xfId="0" applyFont="1" applyBorder="1" applyAlignment="1" applyProtection="1">
      <alignment horizontal="center" vertical="center"/>
      <protection locked="0" hidden="1"/>
    </xf>
    <xf numFmtId="0" fontId="52" fillId="0" borderId="58" xfId="0" applyFont="1" applyBorder="1" applyAlignment="1" applyProtection="1">
      <alignment horizontal="center" vertical="center" wrapText="1"/>
      <protection locked="0" hidden="1"/>
    </xf>
    <xf numFmtId="0" fontId="52" fillId="0" borderId="39" xfId="0" applyFont="1" applyBorder="1" applyAlignment="1" applyProtection="1">
      <alignment horizontal="center" vertical="center" wrapText="1"/>
      <protection locked="0" hidden="1"/>
    </xf>
    <xf numFmtId="0" fontId="52" fillId="0" borderId="31" xfId="0" applyFont="1" applyBorder="1" applyAlignment="1" applyProtection="1">
      <alignment horizontal="center" vertical="center" wrapText="1"/>
      <protection locked="0" hidden="1"/>
    </xf>
    <xf numFmtId="0" fontId="52" fillId="0" borderId="28" xfId="0" applyFont="1" applyBorder="1" applyAlignment="1" applyProtection="1">
      <alignment horizontal="center" vertical="center" wrapText="1"/>
      <protection locked="0" hidden="1"/>
    </xf>
    <xf numFmtId="0" fontId="50" fillId="0" borderId="60" xfId="0" applyFont="1" applyBorder="1" applyAlignment="1" applyProtection="1">
      <alignment horizontal="center" vertical="center" wrapText="1"/>
      <protection locked="0" hidden="1"/>
    </xf>
    <xf numFmtId="0" fontId="50" fillId="0" borderId="61" xfId="0" applyFont="1" applyBorder="1" applyAlignment="1" applyProtection="1">
      <alignment horizontal="center" vertical="center" wrapText="1"/>
      <protection locked="0" hidden="1"/>
    </xf>
    <xf numFmtId="0" fontId="50" fillId="0" borderId="62" xfId="0" applyFont="1" applyBorder="1" applyAlignment="1" applyProtection="1">
      <alignment horizontal="center" vertical="center" wrapText="1"/>
      <protection locked="0" hidden="1"/>
    </xf>
    <xf numFmtId="0" fontId="38" fillId="0" borderId="41" xfId="0" applyFont="1" applyBorder="1" applyAlignment="1" applyProtection="1">
      <alignment horizontal="left" vertical="center" wrapText="1"/>
      <protection locked="0" hidden="1"/>
    </xf>
    <xf numFmtId="0" fontId="38" fillId="3" borderId="6" xfId="0" applyFont="1" applyFill="1" applyBorder="1" applyAlignment="1" applyProtection="1">
      <alignment vertical="center" wrapText="1"/>
      <protection locked="0" hidden="1"/>
    </xf>
    <xf numFmtId="0" fontId="38" fillId="3" borderId="30" xfId="0" applyFont="1" applyFill="1" applyBorder="1" applyAlignment="1" applyProtection="1">
      <alignment vertical="center" wrapText="1"/>
      <protection locked="0" hidden="1"/>
    </xf>
    <xf numFmtId="0" fontId="36" fillId="0" borderId="42" xfId="0" applyFont="1" applyBorder="1" applyAlignment="1" applyProtection="1">
      <alignment horizontal="left" vertical="center" wrapText="1"/>
      <protection locked="0" hidden="1"/>
    </xf>
    <xf numFmtId="0" fontId="36" fillId="0" borderId="28" xfId="0" applyFont="1" applyBorder="1" applyAlignment="1" applyProtection="1">
      <alignment horizontal="left" vertical="center" wrapText="1"/>
      <protection locked="0" hidden="1"/>
    </xf>
    <xf numFmtId="0" fontId="36" fillId="0" borderId="29" xfId="0" applyFont="1" applyBorder="1" applyAlignment="1" applyProtection="1">
      <alignment horizontal="left" vertical="center" wrapText="1"/>
      <protection locked="0" hidden="1"/>
    </xf>
    <xf numFmtId="0" fontId="39" fillId="0" borderId="4" xfId="0" applyFont="1" applyBorder="1" applyAlignment="1" applyProtection="1">
      <alignment horizontal="center" vertical="center" wrapText="1"/>
      <protection locked="0" hidden="1"/>
    </xf>
    <xf numFmtId="0" fontId="39" fillId="0" borderId="0" xfId="0" applyFont="1" applyBorder="1" applyAlignment="1" applyProtection="1">
      <alignment horizontal="center" vertical="center" wrapText="1"/>
      <protection locked="0" hidden="1"/>
    </xf>
    <xf numFmtId="0" fontId="39" fillId="0" borderId="16" xfId="0" applyFont="1" applyBorder="1" applyAlignment="1" applyProtection="1">
      <alignment horizontal="center" vertical="center" wrapText="1"/>
      <protection locked="0" hidden="1"/>
    </xf>
    <xf numFmtId="0" fontId="39" fillId="0" borderId="27" xfId="0" applyFont="1" applyBorder="1" applyAlignment="1" applyProtection="1">
      <alignment horizontal="center" vertical="center" wrapText="1"/>
      <protection locked="0" hidden="1"/>
    </xf>
    <xf numFmtId="0" fontId="39" fillId="0" borderId="17" xfId="0" applyFont="1" applyBorder="1" applyAlignment="1" applyProtection="1">
      <alignment horizontal="center" vertical="center" wrapText="1"/>
      <protection locked="0" hidden="1"/>
    </xf>
    <xf numFmtId="0" fontId="41" fillId="0" borderId="6" xfId="0" applyFont="1" applyBorder="1" applyAlignment="1" applyProtection="1">
      <alignment horizontal="center" vertical="center" wrapText="1"/>
      <protection locked="0" hidden="1"/>
    </xf>
    <xf numFmtId="0" fontId="38" fillId="2" borderId="25" xfId="0" applyFont="1" applyFill="1" applyBorder="1" applyAlignment="1" applyProtection="1">
      <alignment horizontal="center" vertical="center" wrapText="1"/>
      <protection locked="0" hidden="1"/>
    </xf>
    <xf numFmtId="0" fontId="38" fillId="2" borderId="33" xfId="0" applyFont="1" applyFill="1" applyBorder="1" applyAlignment="1" applyProtection="1">
      <alignment horizontal="center" vertical="center" wrapText="1"/>
      <protection locked="0" hidden="1"/>
    </xf>
    <xf numFmtId="0" fontId="38" fillId="0" borderId="8" xfId="0" applyFont="1" applyBorder="1" applyAlignment="1" applyProtection="1">
      <alignment horizontal="center" vertical="center" wrapText="1"/>
      <protection locked="0" hidden="1"/>
    </xf>
    <xf numFmtId="0" fontId="53" fillId="2" borderId="6" xfId="0" applyFont="1" applyFill="1" applyBorder="1" applyAlignment="1" applyProtection="1">
      <alignment horizontal="center" vertical="center" wrapText="1"/>
      <protection locked="0" hidden="1"/>
    </xf>
    <xf numFmtId="0" fontId="57" fillId="4" borderId="42" xfId="0" applyFont="1" applyFill="1" applyBorder="1" applyAlignment="1" applyProtection="1">
      <alignment vertical="center" wrapText="1"/>
      <protection locked="0" hidden="1"/>
    </xf>
    <xf numFmtId="0" fontId="57" fillId="4" borderId="28" xfId="0" applyFont="1" applyFill="1" applyBorder="1" applyAlignment="1" applyProtection="1">
      <alignment vertical="center" wrapText="1"/>
      <protection locked="0" hidden="1"/>
    </xf>
    <xf numFmtId="0" fontId="57" fillId="4" borderId="63" xfId="0" applyFont="1" applyFill="1" applyBorder="1" applyAlignment="1" applyProtection="1">
      <alignment vertical="center" wrapText="1"/>
      <protection locked="0" hidden="1"/>
    </xf>
    <xf numFmtId="0" fontId="57" fillId="4" borderId="64" xfId="0" applyFont="1" applyFill="1" applyBorder="1" applyAlignment="1" applyProtection="1">
      <alignment vertical="center" wrapText="1"/>
      <protection locked="0" hidden="1"/>
    </xf>
    <xf numFmtId="0" fontId="34" fillId="0" borderId="60" xfId="0" applyFont="1" applyBorder="1" applyAlignment="1" applyProtection="1">
      <alignment horizontal="left" vertical="center" wrapText="1"/>
      <protection locked="0" hidden="1"/>
    </xf>
    <xf numFmtId="0" fontId="34" fillId="0" borderId="61" xfId="0" applyFont="1" applyBorder="1" applyAlignment="1" applyProtection="1">
      <alignment horizontal="left" vertical="center" wrapText="1"/>
      <protection locked="0" hidden="1"/>
    </xf>
    <xf numFmtId="0" fontId="34" fillId="0" borderId="62" xfId="0" applyFont="1" applyBorder="1" applyAlignment="1" applyProtection="1">
      <alignment horizontal="left" vertical="center" wrapText="1"/>
      <protection locked="0" hidden="1"/>
    </xf>
    <xf numFmtId="0" fontId="56" fillId="4" borderId="51" xfId="0" applyFont="1" applyFill="1" applyBorder="1" applyAlignment="1" applyProtection="1">
      <alignment vertical="center" wrapText="1"/>
      <protection locked="0" hidden="1"/>
    </xf>
    <xf numFmtId="0" fontId="56" fillId="4" borderId="49" xfId="0" applyFont="1" applyFill="1" applyBorder="1" applyAlignment="1" applyProtection="1">
      <alignment vertical="center" wrapText="1"/>
      <protection locked="0" hidden="1"/>
    </xf>
    <xf numFmtId="0" fontId="39" fillId="0" borderId="40" xfId="0" applyFont="1" applyBorder="1" applyAlignment="1" applyProtection="1">
      <alignment horizontal="center" vertical="center" textRotation="90" wrapText="1"/>
      <protection locked="0" hidden="1"/>
    </xf>
    <xf numFmtId="0" fontId="39" fillId="0" borderId="65" xfId="0" applyFont="1" applyBorder="1" applyAlignment="1" applyProtection="1">
      <alignment horizontal="center" vertical="center" textRotation="90" wrapText="1"/>
      <protection locked="0" hidden="1"/>
    </xf>
    <xf numFmtId="0" fontId="39" fillId="0" borderId="6" xfId="0" applyFont="1" applyBorder="1" applyAlignment="1" applyProtection="1">
      <alignment vertical="center" wrapText="1"/>
      <protection locked="0" hidden="1"/>
    </xf>
    <xf numFmtId="0" fontId="1" fillId="0" borderId="8" xfId="0" applyFont="1" applyBorder="1" applyAlignment="1" applyProtection="1">
      <alignment horizontal="center" vertical="center"/>
      <protection locked="0" hidden="1"/>
    </xf>
    <xf numFmtId="0" fontId="1" fillId="0" borderId="25" xfId="0" applyFont="1" applyBorder="1" applyAlignment="1" applyProtection="1">
      <alignment horizontal="center" vertical="center"/>
      <protection locked="0" hidden="1"/>
    </xf>
    <xf numFmtId="0" fontId="53" fillId="2" borderId="26" xfId="0" applyFont="1" applyFill="1" applyBorder="1" applyAlignment="1" applyProtection="1">
      <alignment horizontal="center" vertical="center" wrapText="1"/>
      <protection locked="0" hidden="1"/>
    </xf>
    <xf numFmtId="0" fontId="1" fillId="0" borderId="6" xfId="0" applyFont="1" applyBorder="1" applyAlignment="1" applyProtection="1">
      <alignment horizontal="center" vertical="center"/>
      <protection locked="0" hidden="1"/>
    </xf>
    <xf numFmtId="0" fontId="38" fillId="2" borderId="8" xfId="0" applyFont="1" applyFill="1" applyBorder="1" applyAlignment="1" applyProtection="1">
      <alignment horizontal="center" vertical="center" wrapText="1"/>
      <protection locked="0" hidden="1"/>
    </xf>
    <xf numFmtId="0" fontId="53" fillId="0" borderId="25" xfId="0" applyFont="1" applyBorder="1" applyAlignment="1" applyProtection="1">
      <alignment horizontal="center" vertical="center" wrapText="1"/>
      <protection locked="0" hidden="1"/>
    </xf>
    <xf numFmtId="0" fontId="53" fillId="0" borderId="43" xfId="0" applyFont="1" applyBorder="1" applyAlignment="1" applyProtection="1">
      <alignment horizontal="center" vertical="center" wrapText="1"/>
      <protection locked="0" hidden="1"/>
    </xf>
    <xf numFmtId="0" fontId="53" fillId="0" borderId="43" xfId="0" applyFont="1" applyBorder="1" applyAlignment="1" applyProtection="1">
      <alignment vertical="center" textRotation="90" wrapText="1"/>
      <protection locked="0" hidden="1"/>
    </xf>
    <xf numFmtId="0" fontId="53" fillId="0" borderId="55" xfId="0" applyFont="1" applyBorder="1" applyAlignment="1" applyProtection="1">
      <alignment vertical="center" textRotation="90" wrapText="1"/>
      <protection locked="0" hidden="1"/>
    </xf>
    <xf numFmtId="0" fontId="57" fillId="4" borderId="10" xfId="0" applyFont="1" applyFill="1" applyBorder="1" applyAlignment="1" applyProtection="1">
      <alignment vertical="center" wrapText="1"/>
      <protection locked="0" hidden="1"/>
    </xf>
    <xf numFmtId="0" fontId="56" fillId="4" borderId="40" xfId="0" applyFont="1" applyFill="1" applyBorder="1" applyAlignment="1" applyProtection="1">
      <alignment vertical="center" wrapText="1"/>
      <protection locked="0" hidden="1"/>
    </xf>
    <xf numFmtId="0" fontId="56" fillId="4" borderId="41" xfId="0" applyFont="1" applyFill="1" applyBorder="1" applyAlignment="1" applyProtection="1">
      <alignment vertical="center" wrapText="1"/>
      <protection locked="0" hidden="1"/>
    </xf>
    <xf numFmtId="0" fontId="36" fillId="0" borderId="10" xfId="0" applyFont="1" applyBorder="1" applyAlignment="1" applyProtection="1">
      <alignment horizontal="left" vertical="center" wrapText="1"/>
      <protection locked="0" hidden="1"/>
    </xf>
    <xf numFmtId="0" fontId="36" fillId="0" borderId="56" xfId="0" applyFont="1" applyBorder="1" applyAlignment="1" applyProtection="1">
      <alignment horizontal="left" vertical="center" wrapText="1"/>
      <protection locked="0" hidden="1"/>
    </xf>
    <xf numFmtId="0" fontId="1" fillId="0" borderId="30" xfId="0" applyFont="1" applyBorder="1" applyAlignment="1" applyProtection="1">
      <alignment horizontal="center" vertical="center"/>
      <protection locked="0" hidden="1"/>
    </xf>
    <xf numFmtId="0" fontId="1" fillId="3" borderId="10" xfId="0" applyFont="1" applyFill="1" applyBorder="1" applyAlignment="1" applyProtection="1">
      <alignment horizontal="center" vertical="center"/>
      <protection locked="0" hidden="1"/>
    </xf>
    <xf numFmtId="0" fontId="1" fillId="3" borderId="56" xfId="0" applyFont="1" applyFill="1" applyBorder="1" applyAlignment="1" applyProtection="1">
      <alignment horizontal="center" vertical="center"/>
      <protection locked="0" hidden="1"/>
    </xf>
    <xf numFmtId="0" fontId="39" fillId="3" borderId="10" xfId="0" applyFont="1" applyFill="1" applyBorder="1" applyAlignment="1" applyProtection="1">
      <alignment horizontal="center" vertical="center" wrapText="1"/>
      <protection locked="0" hidden="1"/>
    </xf>
    <xf numFmtId="0" fontId="34" fillId="0" borderId="68" xfId="0" applyFont="1" applyBorder="1" applyAlignment="1" applyProtection="1">
      <alignment horizontal="left" vertical="center" wrapText="1"/>
      <protection locked="0" hidden="1"/>
    </xf>
    <xf numFmtId="0" fontId="34" fillId="0" borderId="69" xfId="0" applyFont="1" applyBorder="1" applyAlignment="1" applyProtection="1">
      <alignment horizontal="left" vertical="center" wrapText="1"/>
      <protection locked="0" hidden="1"/>
    </xf>
    <xf numFmtId="0" fontId="34" fillId="0" borderId="69" xfId="0" applyFont="1" applyBorder="1" applyAlignment="1" applyProtection="1">
      <alignment horizontal="center" vertical="center" wrapText="1"/>
      <protection locked="0" hidden="1"/>
    </xf>
    <xf numFmtId="0" fontId="34" fillId="0" borderId="59" xfId="0" applyFont="1" applyBorder="1" applyAlignment="1" applyProtection="1">
      <alignment horizontal="center" vertical="center" wrapText="1"/>
      <protection locked="0" hidden="1"/>
    </xf>
    <xf numFmtId="0" fontId="53" fillId="3" borderId="10" xfId="0" applyFont="1" applyFill="1" applyBorder="1" applyAlignment="1" applyProtection="1">
      <alignment horizontal="center" vertical="center" wrapText="1"/>
      <protection locked="0" hidden="1"/>
    </xf>
    <xf numFmtId="0" fontId="34" fillId="0" borderId="67" xfId="0" applyFont="1" applyBorder="1" applyAlignment="1" applyProtection="1">
      <alignment horizontal="center" vertical="center" wrapText="1"/>
      <protection locked="0" hidden="1"/>
    </xf>
    <xf numFmtId="0" fontId="39" fillId="0" borderId="10" xfId="0" applyFont="1" applyBorder="1" applyAlignment="1" applyProtection="1">
      <alignment horizontal="center" vertical="center" wrapText="1"/>
      <protection locked="0" hidden="1"/>
    </xf>
    <xf numFmtId="0" fontId="1" fillId="0" borderId="10" xfId="0" applyFont="1" applyBorder="1" applyAlignment="1" applyProtection="1">
      <alignment horizontal="left" vertical="center"/>
      <protection locked="0" hidden="1"/>
    </xf>
    <xf numFmtId="0" fontId="1" fillId="0" borderId="56" xfId="0" applyFont="1" applyBorder="1" applyAlignment="1" applyProtection="1">
      <alignment horizontal="left" vertical="center"/>
      <protection locked="0" hidden="1"/>
    </xf>
    <xf numFmtId="0" fontId="52" fillId="0" borderId="28" xfId="0" applyFont="1" applyBorder="1" applyAlignment="1" applyProtection="1">
      <alignment horizontal="center"/>
      <protection locked="0" hidden="1"/>
    </xf>
    <xf numFmtId="0" fontId="53" fillId="0" borderId="55" xfId="0" applyFont="1" applyBorder="1" applyAlignment="1" applyProtection="1">
      <alignment horizontal="center" vertical="center" wrapText="1"/>
      <protection locked="0" hidden="1"/>
    </xf>
    <xf numFmtId="0" fontId="1" fillId="0" borderId="10" xfId="0" applyFont="1" applyBorder="1" applyAlignment="1" applyProtection="1">
      <alignment horizontal="center" vertical="center"/>
      <protection locked="0" hidden="1"/>
    </xf>
    <xf numFmtId="0" fontId="38" fillId="2" borderId="70" xfId="0" applyFont="1" applyFill="1" applyBorder="1" applyAlignment="1" applyProtection="1">
      <alignment horizontal="left" vertical="center" wrapText="1"/>
      <protection locked="0" hidden="1"/>
    </xf>
    <xf numFmtId="0" fontId="38" fillId="2" borderId="61" xfId="0" applyFont="1" applyFill="1" applyBorder="1" applyAlignment="1" applyProtection="1">
      <alignment horizontal="left" vertical="center" wrapText="1"/>
      <protection locked="0" hidden="1"/>
    </xf>
    <xf numFmtId="0" fontId="38" fillId="2" borderId="62" xfId="0" applyFont="1" applyFill="1" applyBorder="1" applyAlignment="1" applyProtection="1">
      <alignment horizontal="left" vertical="center" wrapText="1"/>
      <protection locked="0" hidden="1"/>
    </xf>
    <xf numFmtId="0" fontId="34" fillId="0" borderId="10" xfId="0" applyFont="1" applyBorder="1" applyAlignment="1" applyProtection="1">
      <alignment horizontal="left" vertical="center" wrapText="1"/>
      <protection locked="0" hidden="1"/>
    </xf>
    <xf numFmtId="0" fontId="1" fillId="0" borderId="67" xfId="0" applyFont="1" applyBorder="1" applyAlignment="1" applyProtection="1">
      <alignment horizontal="center" vertical="center"/>
      <protection locked="0" hidden="1"/>
    </xf>
    <xf numFmtId="0" fontId="1" fillId="0" borderId="71" xfId="0" applyFont="1" applyBorder="1" applyAlignment="1" applyProtection="1">
      <alignment horizontal="center" vertical="center"/>
      <protection locked="0" hidden="1"/>
    </xf>
    <xf numFmtId="0" fontId="56" fillId="4" borderId="66" xfId="0" applyFont="1" applyFill="1" applyBorder="1" applyAlignment="1" applyProtection="1">
      <alignment horizontal="center" vertical="center" wrapText="1"/>
      <protection locked="0" hidden="1"/>
    </xf>
    <xf numFmtId="0" fontId="56" fillId="4" borderId="67" xfId="0" applyFont="1" applyFill="1" applyBorder="1" applyAlignment="1" applyProtection="1">
      <alignment horizontal="center" vertical="center" wrapText="1"/>
      <protection locked="0" hidden="1"/>
    </xf>
    <xf numFmtId="0" fontId="34" fillId="0" borderId="67" xfId="0" applyFont="1" applyBorder="1" applyAlignment="1" applyProtection="1">
      <alignment horizontal="left" vertical="center" wrapText="1"/>
      <protection locked="0" hidden="1"/>
    </xf>
    <xf numFmtId="0" fontId="38" fillId="0" borderId="10" xfId="0" applyFont="1" applyBorder="1" applyAlignment="1" applyProtection="1">
      <alignment horizontal="center" vertical="center" wrapText="1"/>
      <protection locked="0" hidden="1"/>
    </xf>
    <xf numFmtId="0" fontId="38" fillId="0" borderId="72" xfId="0" applyFont="1" applyBorder="1" applyAlignment="1" applyProtection="1">
      <alignment horizontal="left" vertical="center" wrapText="1"/>
      <protection locked="0" hidden="1"/>
    </xf>
    <xf numFmtId="0" fontId="38" fillId="0" borderId="12" xfId="0" applyFont="1" applyBorder="1" applyAlignment="1" applyProtection="1">
      <alignment horizontal="left" vertical="center" wrapText="1"/>
      <protection locked="0" hidden="1"/>
    </xf>
    <xf numFmtId="0" fontId="34" fillId="0" borderId="49" xfId="0" applyFont="1" applyBorder="1" applyAlignment="1" applyProtection="1">
      <alignment horizontal="left" vertical="center" wrapText="1"/>
      <protection locked="0" hidden="1"/>
    </xf>
    <xf numFmtId="0" fontId="34" fillId="0" borderId="50" xfId="0" applyFont="1" applyBorder="1" applyAlignment="1" applyProtection="1">
      <alignment horizontal="left" vertical="center" wrapText="1"/>
      <protection locked="0" hidden="1"/>
    </xf>
    <xf numFmtId="0" fontId="38" fillId="0" borderId="55" xfId="0" applyFont="1" applyBorder="1" applyAlignment="1" applyProtection="1">
      <alignment horizontal="center" vertical="center" wrapText="1"/>
      <protection locked="0" hidden="1"/>
    </xf>
    <xf numFmtId="0" fontId="38" fillId="0" borderId="4" xfId="0" applyFont="1" applyBorder="1" applyAlignment="1" applyProtection="1">
      <alignment horizontal="left" vertical="center" wrapText="1"/>
      <protection locked="0" hidden="1"/>
    </xf>
    <xf numFmtId="0" fontId="38" fillId="0" borderId="27" xfId="0" applyFont="1" applyBorder="1" applyAlignment="1" applyProtection="1">
      <alignment horizontal="left" vertical="center" wrapText="1"/>
      <protection locked="0" hidden="1"/>
    </xf>
    <xf numFmtId="0" fontId="38" fillId="0" borderId="5" xfId="0" applyFont="1" applyBorder="1" applyAlignment="1" applyProtection="1">
      <alignment horizontal="left" vertical="center" wrapText="1"/>
      <protection locked="0" hidden="1"/>
    </xf>
    <xf numFmtId="0" fontId="38" fillId="0" borderId="47" xfId="0" applyFont="1" applyBorder="1" applyAlignment="1" applyProtection="1">
      <alignment horizontal="left" vertical="center" wrapText="1"/>
      <protection locked="0" hidden="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31"/>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Hyperlink 2" xfId="53"/>
    <cellStyle name="Input" xfId="39" builtinId="20" customBuiltin="1"/>
    <cellStyle name="Linked Cell" xfId="40" builtinId="24" customBuiltin="1"/>
    <cellStyle name="Neutral" xfId="41" builtinId="28" customBuiltin="1"/>
    <cellStyle name="Normal" xfId="0" builtinId="0"/>
    <cellStyle name="Normal 2" xfId="42"/>
    <cellStyle name="Normal 2 2" xfId="43"/>
    <cellStyle name="Normal 3" xfId="44"/>
    <cellStyle name="Normal 4" xfId="45"/>
    <cellStyle name="Normal 5" xfId="46"/>
    <cellStyle name="Normal 6" xfId="52"/>
    <cellStyle name="Note 2" xfId="47"/>
    <cellStyle name="Output" xfId="48" builtinId="21" customBuiltin="1"/>
    <cellStyle name="Title" xfId="49" builtinId="15" customBuiltin="1"/>
    <cellStyle name="Total" xfId="50" builtinId="25" customBuiltin="1"/>
    <cellStyle name="Warning Text" xfId="51" builtinId="11" customBuiltin="1"/>
  </cellStyles>
  <dxfs count="19">
    <dxf>
      <font>
        <color theme="6" tint="0.59996337778862885"/>
      </font>
    </dxf>
    <dxf>
      <font>
        <color theme="6" tint="0.59996337778862885"/>
      </font>
    </dxf>
    <dxf>
      <font>
        <color theme="6" tint="0.59996337778862885"/>
      </font>
      <fill>
        <patternFill>
          <bgColor theme="6" tint="0.59996337778862885"/>
        </patternFill>
      </fill>
    </dxf>
    <dxf>
      <font>
        <color theme="6" tint="0.59996337778862885"/>
      </font>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9" tint="0.59996337778862885"/>
      </font>
    </dxf>
    <dxf>
      <font>
        <color theme="5" tint="0.79998168889431442"/>
      </font>
    </dxf>
    <dxf>
      <font>
        <color theme="6" tint="0.59996337778862885"/>
      </font>
      <fill>
        <patternFill>
          <bgColor theme="6" tint="0.59996337778862885"/>
        </patternFill>
      </fill>
    </dxf>
    <dxf>
      <font>
        <color theme="6" tint="0.79998168889431442"/>
      </font>
      <fill>
        <patternFill>
          <bgColor theme="6" tint="0.59996337778862885"/>
        </patternFill>
      </fill>
    </dxf>
    <dxf>
      <font>
        <condense val="0"/>
        <extend val="0"/>
        <color indexed="47"/>
        <name val="Cambria"/>
        <scheme val="none"/>
      </font>
    </dxf>
    <dxf>
      <font>
        <color theme="9" tint="0.59996337778862885"/>
      </font>
    </dxf>
    <dxf>
      <font>
        <color theme="6" tint="0.59996337778862885"/>
        <name val="Cambria"/>
        <scheme val="none"/>
      </font>
      <fill>
        <patternFill>
          <bgColor theme="6" tint="0.59996337778862885"/>
        </patternFill>
      </fill>
    </dxf>
    <dxf>
      <font>
        <color theme="9" tint="0.59996337778862885"/>
      </font>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ndense val="0"/>
        <extend val="0"/>
        <color indexed="47"/>
        <name val="Cambria"/>
        <scheme val="none"/>
      </font>
    </dxf>
  </dxfs>
  <tableStyles count="0" defaultTableStyle="TableStyleMedium9" defaultPivotStyle="PivotStyleLight16"/>
  <colors>
    <mruColors>
      <color rgb="FFB8E3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22297</xdr:colOff>
      <xdr:row>1</xdr:row>
      <xdr:rowOff>29191</xdr:rowOff>
    </xdr:from>
    <xdr:to>
      <xdr:col>1</xdr:col>
      <xdr:colOff>6547758</xdr:colOff>
      <xdr:row>1</xdr:row>
      <xdr:rowOff>2403903</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297" y="372091"/>
          <a:ext cx="6754061" cy="23747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1685925</xdr:colOff>
      <xdr:row>1</xdr:row>
      <xdr:rowOff>247650</xdr:rowOff>
    </xdr:from>
    <xdr:to>
      <xdr:col>6</xdr:col>
      <xdr:colOff>200025</xdr:colOff>
      <xdr:row>1</xdr:row>
      <xdr:rowOff>1114425</xdr:rowOff>
    </xdr:to>
    <xdr:pic>
      <xdr:nvPicPr>
        <xdr:cNvPr id="238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124200" y="666750"/>
          <a:ext cx="552450" cy="866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66675</xdr:colOff>
      <xdr:row>12</xdr:row>
      <xdr:rowOff>95250</xdr:rowOff>
    </xdr:from>
    <xdr:to>
      <xdr:col>39</xdr:col>
      <xdr:colOff>85725</xdr:colOff>
      <xdr:row>13</xdr:row>
      <xdr:rowOff>85725</xdr:rowOff>
    </xdr:to>
    <xdr:sp macro="" textlink="">
      <xdr:nvSpPr>
        <xdr:cNvPr id="4090" name="Rectangle 1"/>
        <xdr:cNvSpPr>
          <a:spLocks noChangeArrowheads="1"/>
        </xdr:cNvSpPr>
      </xdr:nvSpPr>
      <xdr:spPr bwMode="auto">
        <a:xfrm>
          <a:off x="5915025" y="2943225"/>
          <a:ext cx="171450" cy="190500"/>
        </a:xfrm>
        <a:prstGeom prst="rect">
          <a:avLst/>
        </a:prstGeom>
        <a:solidFill>
          <a:srgbClr val="FFFFFF"/>
        </a:solidFill>
        <a:ln w="9525">
          <a:solidFill>
            <a:srgbClr val="000000"/>
          </a:solidFill>
          <a:miter lim="800000"/>
          <a:headEnd/>
          <a:tailEnd/>
        </a:ln>
      </xdr:spPr>
    </xdr:sp>
    <xdr:clientData/>
  </xdr:twoCellAnchor>
  <xdr:twoCellAnchor>
    <xdr:from>
      <xdr:col>43</xdr:col>
      <xdr:colOff>0</xdr:colOff>
      <xdr:row>12</xdr:row>
      <xdr:rowOff>38100</xdr:rowOff>
    </xdr:from>
    <xdr:to>
      <xdr:col>43</xdr:col>
      <xdr:colOff>0</xdr:colOff>
      <xdr:row>13</xdr:row>
      <xdr:rowOff>28575</xdr:rowOff>
    </xdr:to>
    <xdr:sp macro="" textlink="">
      <xdr:nvSpPr>
        <xdr:cNvPr id="4091" name="Rectangle 2"/>
        <xdr:cNvSpPr>
          <a:spLocks noChangeArrowheads="1"/>
        </xdr:cNvSpPr>
      </xdr:nvSpPr>
      <xdr:spPr bwMode="auto">
        <a:xfrm>
          <a:off x="6610350" y="2886075"/>
          <a:ext cx="0" cy="190500"/>
        </a:xfrm>
        <a:prstGeom prst="rect">
          <a:avLst/>
        </a:prstGeom>
        <a:solidFill>
          <a:srgbClr val="FFFFFF"/>
        </a:solidFill>
        <a:ln w="9525">
          <a:solidFill>
            <a:srgbClr val="000000"/>
          </a:solidFill>
          <a:miter lim="800000"/>
          <a:headEnd/>
          <a:tailEnd/>
        </a:ln>
      </xdr:spPr>
    </xdr:sp>
    <xdr:clientData/>
  </xdr:twoCellAnchor>
  <xdr:twoCellAnchor>
    <xdr:from>
      <xdr:col>40</xdr:col>
      <xdr:colOff>38100</xdr:colOff>
      <xdr:row>12</xdr:row>
      <xdr:rowOff>95250</xdr:rowOff>
    </xdr:from>
    <xdr:to>
      <xdr:col>41</xdr:col>
      <xdr:colOff>57150</xdr:colOff>
      <xdr:row>13</xdr:row>
      <xdr:rowOff>85725</xdr:rowOff>
    </xdr:to>
    <xdr:sp macro="" textlink="">
      <xdr:nvSpPr>
        <xdr:cNvPr id="4092" name="Rectangle 3"/>
        <xdr:cNvSpPr>
          <a:spLocks noChangeArrowheads="1"/>
        </xdr:cNvSpPr>
      </xdr:nvSpPr>
      <xdr:spPr bwMode="auto">
        <a:xfrm>
          <a:off x="6191250" y="2943225"/>
          <a:ext cx="171450" cy="190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s.gd/akshay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showGridLines="0" workbookViewId="0">
      <selection activeCell="B16" sqref="B16"/>
    </sheetView>
  </sheetViews>
  <sheetFormatPr defaultColWidth="0" defaultRowHeight="15" customHeight="1" zeroHeight="1"/>
  <cols>
    <col min="1" max="1" width="3.42578125" style="244" customWidth="1"/>
    <col min="2" max="2" width="98.28515625" style="246" customWidth="1"/>
    <col min="3" max="3" width="0.140625" style="244" customWidth="1"/>
    <col min="4" max="16384" width="3.42578125" style="244" hidden="1"/>
  </cols>
  <sheetData>
    <row r="1" spans="1:2" ht="27" customHeight="1">
      <c r="A1" s="344" t="str">
        <f>"Income Tax Proposals Preparation Package "&amp;Data!Y3</f>
        <v>Income Tax Proposals Preparation Package 2013-14</v>
      </c>
      <c r="B1" s="345"/>
    </row>
    <row r="2" spans="1:2" ht="190.5" customHeight="1">
      <c r="A2" s="350"/>
      <c r="B2" s="350"/>
    </row>
    <row r="3" spans="1:2" s="300" customFormat="1" ht="27" customHeight="1">
      <c r="A3" s="346" t="s">
        <v>673</v>
      </c>
      <c r="B3" s="347"/>
    </row>
    <row r="4" spans="1:2" s="245" customFormat="1" ht="18.75" customHeight="1">
      <c r="A4" s="259">
        <v>1</v>
      </c>
      <c r="B4" s="260" t="s">
        <v>679</v>
      </c>
    </row>
    <row r="5" spans="1:2" s="245" customFormat="1" ht="18.75" customHeight="1">
      <c r="A5" s="259">
        <f>A4+1</f>
        <v>2</v>
      </c>
      <c r="B5" s="260" t="s">
        <v>698</v>
      </c>
    </row>
    <row r="6" spans="1:2" s="245" customFormat="1" ht="18.75" customHeight="1">
      <c r="A6" s="259">
        <f>A5+1</f>
        <v>3</v>
      </c>
      <c r="B6" s="260" t="s">
        <v>693</v>
      </c>
    </row>
    <row r="7" spans="1:2" s="245" customFormat="1" ht="18.75" customHeight="1">
      <c r="A7" s="259">
        <f>A6+1</f>
        <v>4</v>
      </c>
      <c r="B7" s="260" t="s">
        <v>690</v>
      </c>
    </row>
    <row r="8" spans="1:2" s="245" customFormat="1" ht="18.75" customHeight="1">
      <c r="A8" s="259">
        <f t="shared" ref="A8:A19" si="0">A7+1</f>
        <v>5</v>
      </c>
      <c r="B8" s="260" t="s">
        <v>691</v>
      </c>
    </row>
    <row r="9" spans="1:2" s="245" customFormat="1" ht="18.75" customHeight="1">
      <c r="A9" s="259">
        <f t="shared" si="0"/>
        <v>6</v>
      </c>
      <c r="B9" s="260" t="s">
        <v>680</v>
      </c>
    </row>
    <row r="10" spans="1:2" s="245" customFormat="1" ht="18.75" customHeight="1">
      <c r="A10" s="259">
        <f t="shared" si="0"/>
        <v>7</v>
      </c>
      <c r="B10" s="260" t="s">
        <v>721</v>
      </c>
    </row>
    <row r="11" spans="1:2" s="245" customFormat="1" ht="18.75" customHeight="1">
      <c r="A11" s="259">
        <f t="shared" si="0"/>
        <v>8</v>
      </c>
      <c r="B11" s="260" t="s">
        <v>722</v>
      </c>
    </row>
    <row r="12" spans="1:2" s="245" customFormat="1" ht="18.75" customHeight="1">
      <c r="A12" s="259">
        <f t="shared" si="0"/>
        <v>9</v>
      </c>
      <c r="B12" s="260" t="s">
        <v>674</v>
      </c>
    </row>
    <row r="13" spans="1:2" s="245" customFormat="1" ht="18.75" customHeight="1">
      <c r="A13" s="259">
        <f t="shared" si="0"/>
        <v>10</v>
      </c>
      <c r="B13" s="260" t="s">
        <v>675</v>
      </c>
    </row>
    <row r="14" spans="1:2" s="245" customFormat="1" ht="18.75" customHeight="1">
      <c r="A14" s="259">
        <f t="shared" si="0"/>
        <v>11</v>
      </c>
      <c r="B14" s="260" t="s">
        <v>729</v>
      </c>
    </row>
    <row r="15" spans="1:2" s="245" customFormat="1" ht="18.75" customHeight="1">
      <c r="A15" s="259">
        <f t="shared" si="0"/>
        <v>12</v>
      </c>
      <c r="B15" s="260" t="s">
        <v>730</v>
      </c>
    </row>
    <row r="16" spans="1:2" s="245" customFormat="1" ht="18.75" customHeight="1">
      <c r="A16" s="259">
        <f t="shared" si="0"/>
        <v>13</v>
      </c>
      <c r="B16" s="260" t="s">
        <v>699</v>
      </c>
    </row>
    <row r="17" spans="1:2" s="245" customFormat="1" ht="18.75" customHeight="1">
      <c r="A17" s="259">
        <f>A16+1</f>
        <v>14</v>
      </c>
      <c r="B17" s="260" t="s">
        <v>688</v>
      </c>
    </row>
    <row r="18" spans="1:2" s="245" customFormat="1" ht="18.75" customHeight="1">
      <c r="A18" s="259">
        <f>A17+1</f>
        <v>15</v>
      </c>
      <c r="B18" s="260" t="s">
        <v>689</v>
      </c>
    </row>
    <row r="19" spans="1:2" s="245" customFormat="1" ht="18.75" customHeight="1">
      <c r="A19" s="259">
        <f t="shared" si="0"/>
        <v>16</v>
      </c>
      <c r="B19" s="260" t="s">
        <v>697</v>
      </c>
    </row>
    <row r="20" spans="1:2" s="245" customFormat="1" ht="33.75" customHeight="1">
      <c r="A20" s="351" t="s">
        <v>695</v>
      </c>
      <c r="B20" s="352"/>
    </row>
    <row r="21" spans="1:2" s="245" customFormat="1" ht="15" hidden="1" customHeight="1">
      <c r="A21" s="348" t="s">
        <v>625</v>
      </c>
      <c r="B21" s="349"/>
    </row>
    <row r="22" spans="1:2" s="245" customFormat="1" ht="15" hidden="1" customHeight="1">
      <c r="A22" s="247">
        <v>1</v>
      </c>
      <c r="B22" s="250" t="s">
        <v>671</v>
      </c>
    </row>
    <row r="23" spans="1:2" s="245" customFormat="1" ht="15" hidden="1" customHeight="1">
      <c r="A23" s="248">
        <v>2</v>
      </c>
      <c r="B23" s="251" t="s">
        <v>626</v>
      </c>
    </row>
    <row r="24" spans="1:2" s="245" customFormat="1" ht="15" hidden="1" customHeight="1">
      <c r="A24" s="248">
        <v>3</v>
      </c>
      <c r="B24" s="251" t="s">
        <v>627</v>
      </c>
    </row>
    <row r="25" spans="1:2" s="245" customFormat="1" ht="15" hidden="1" customHeight="1">
      <c r="A25" s="248">
        <v>4</v>
      </c>
      <c r="B25" s="251" t="s">
        <v>628</v>
      </c>
    </row>
    <row r="26" spans="1:2" s="245" customFormat="1" ht="15" hidden="1" customHeight="1">
      <c r="A26" s="248">
        <v>5</v>
      </c>
      <c r="B26" s="251" t="s">
        <v>629</v>
      </c>
    </row>
    <row r="27" spans="1:2" s="245" customFormat="1" ht="15" hidden="1" customHeight="1">
      <c r="A27" s="248">
        <v>6</v>
      </c>
      <c r="B27" s="251" t="s">
        <v>630</v>
      </c>
    </row>
    <row r="28" spans="1:2" s="245" customFormat="1" ht="15" hidden="1" customHeight="1">
      <c r="A28" s="248">
        <v>7</v>
      </c>
      <c r="B28" s="251" t="s">
        <v>631</v>
      </c>
    </row>
    <row r="29" spans="1:2" s="245" customFormat="1" ht="15" hidden="1" customHeight="1">
      <c r="A29" s="248">
        <v>8</v>
      </c>
      <c r="B29" s="251" t="s">
        <v>632</v>
      </c>
    </row>
    <row r="30" spans="1:2" s="245" customFormat="1" ht="15" hidden="1" customHeight="1">
      <c r="A30" s="248">
        <v>9</v>
      </c>
      <c r="B30" s="251" t="s">
        <v>633</v>
      </c>
    </row>
    <row r="31" spans="1:2" s="245" customFormat="1" ht="15" hidden="1" customHeight="1">
      <c r="A31" s="248">
        <v>10</v>
      </c>
      <c r="B31" s="251" t="s">
        <v>634</v>
      </c>
    </row>
    <row r="32" spans="1:2" s="245" customFormat="1" ht="15" hidden="1" customHeight="1">
      <c r="A32" s="248">
        <v>11</v>
      </c>
      <c r="B32" s="251" t="s">
        <v>635</v>
      </c>
    </row>
    <row r="33" spans="1:2" s="245" customFormat="1" ht="15" hidden="1" customHeight="1">
      <c r="A33" s="248">
        <v>12</v>
      </c>
      <c r="B33" s="251" t="s">
        <v>636</v>
      </c>
    </row>
    <row r="34" spans="1:2" s="245" customFormat="1" ht="15" hidden="1" customHeight="1">
      <c r="A34" s="248">
        <v>13</v>
      </c>
      <c r="B34" s="251" t="s">
        <v>637</v>
      </c>
    </row>
    <row r="35" spans="1:2" s="245" customFormat="1" ht="15" hidden="1" customHeight="1">
      <c r="A35" s="248">
        <v>14</v>
      </c>
      <c r="B35" s="252" t="s">
        <v>638</v>
      </c>
    </row>
    <row r="36" spans="1:2" s="245" customFormat="1" ht="15" hidden="1" customHeight="1">
      <c r="A36" s="248">
        <v>15</v>
      </c>
      <c r="B36" s="252" t="s">
        <v>672</v>
      </c>
    </row>
    <row r="37" spans="1:2" s="245" customFormat="1" ht="15" hidden="1" customHeight="1">
      <c r="A37" s="248">
        <v>18</v>
      </c>
      <c r="B37" s="251" t="s">
        <v>639</v>
      </c>
    </row>
    <row r="38" spans="1:2" s="245" customFormat="1" ht="15" hidden="1" customHeight="1">
      <c r="A38" s="249">
        <v>21</v>
      </c>
      <c r="B38" s="253" t="s">
        <v>640</v>
      </c>
    </row>
    <row r="39" spans="1:2" ht="15" hidden="1" customHeight="1"/>
    <row r="40" spans="1:2" ht="15" hidden="1" customHeight="1"/>
    <row r="41" spans="1:2" ht="15" hidden="1" customHeight="1"/>
    <row r="42" spans="1:2" ht="15" hidden="1" customHeight="1"/>
    <row r="43" spans="1:2" ht="15" hidden="1" customHeight="1"/>
    <row r="44" spans="1:2" ht="15" hidden="1" customHeight="1"/>
  </sheetData>
  <sheetProtection sheet="1" objects="1" scenarios="1"/>
  <mergeCells count="5">
    <mergeCell ref="A1:B1"/>
    <mergeCell ref="A3:B3"/>
    <mergeCell ref="A21:B21"/>
    <mergeCell ref="A2:B2"/>
    <mergeCell ref="A20:B20"/>
  </mergeCells>
  <printOptions horizontalCentered="1"/>
  <pageMargins left="0.5" right="0.5" top="0.46" bottom="0.53" header="0.35" footer="0.39"/>
  <pageSetup paperSize="9" scale="96" fitToHeight="0" pageOrder="overThenDown" orientation="portrait" r:id="rId1"/>
  <headerFooter alignWithMargins="0">
    <oddFooter>&amp;C&amp;"Verdana,Bold"Page &amp;P of &amp;N</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IE103"/>
  <sheetViews>
    <sheetView showGridLines="0" tabSelected="1" workbookViewId="0">
      <selection activeCell="P10" sqref="P10"/>
    </sheetView>
  </sheetViews>
  <sheetFormatPr defaultColWidth="0" defaultRowHeight="12" customHeight="1" zeroHeight="1"/>
  <cols>
    <col min="1" max="1" width="1.42578125" style="132" customWidth="1"/>
    <col min="2" max="2" width="3.28515625" style="132" customWidth="1"/>
    <col min="3" max="3" width="17.85546875" style="139" customWidth="1"/>
    <col min="4" max="5" width="4" style="132" customWidth="1"/>
    <col min="6" max="6" width="5" style="132" customWidth="1"/>
    <col min="7" max="8" width="4" style="132" customWidth="1"/>
    <col min="9" max="9" width="6" style="132" bestFit="1" customWidth="1"/>
    <col min="10" max="10" width="1.42578125" style="132" customWidth="1"/>
    <col min="11" max="11" width="3.28515625" style="132" customWidth="1"/>
    <col min="12" max="12" width="22.85546875" style="139" customWidth="1"/>
    <col min="13" max="13" width="10.5703125" style="132" customWidth="1"/>
    <col min="14" max="14" width="1.42578125" style="132" customWidth="1"/>
    <col min="15" max="15" width="7.28515625" style="132" customWidth="1"/>
    <col min="16" max="16" width="35" style="132" customWidth="1"/>
    <col min="17" max="17" width="8" style="132" customWidth="1"/>
    <col min="18" max="18" width="1.42578125" style="208" customWidth="1"/>
    <col min="19" max="19" width="0.140625" style="208" customWidth="1"/>
    <col min="20" max="20" width="4.85546875" style="208" hidden="1" customWidth="1"/>
    <col min="21" max="22" width="9" style="208" hidden="1" customWidth="1"/>
    <col min="23" max="23" width="7.28515625" style="183" hidden="1" customWidth="1"/>
    <col min="24" max="24" width="8" style="183" hidden="1" customWidth="1"/>
    <col min="25" max="25" width="8.42578125" style="183" hidden="1" customWidth="1"/>
    <col min="26" max="26" width="9.42578125" style="183" hidden="1" customWidth="1"/>
    <col min="27" max="27" width="9.7109375" style="180" hidden="1" customWidth="1"/>
    <col min="28" max="28" width="4.42578125" style="180" hidden="1" customWidth="1"/>
    <col min="29" max="29" width="8.140625" style="180" hidden="1" customWidth="1"/>
    <col min="30" max="30" width="4.5703125" style="180" hidden="1" customWidth="1"/>
    <col min="31" max="31" width="3" style="180" hidden="1" customWidth="1"/>
    <col min="32" max="32" width="7.5703125" style="180" hidden="1" customWidth="1"/>
    <col min="33" max="33" width="7.42578125" style="180" hidden="1" customWidth="1"/>
    <col min="34" max="34" width="6.5703125" style="180" hidden="1" customWidth="1"/>
    <col min="35" max="35" width="5.5703125" style="180" hidden="1" customWidth="1"/>
    <col min="36" max="36" width="5.42578125" style="180" hidden="1" customWidth="1"/>
    <col min="37" max="37" width="4.7109375" style="180" hidden="1" customWidth="1"/>
    <col min="38" max="39" width="6.5703125" style="180" hidden="1" customWidth="1"/>
    <col min="40" max="40" width="4.140625" style="180" hidden="1" customWidth="1"/>
    <col min="41" max="41" width="6.5703125" style="180" hidden="1" customWidth="1"/>
    <col min="42" max="46" width="8.140625" style="180" hidden="1" customWidth="1"/>
    <col min="47" max="47" width="3.85546875" style="194" hidden="1" customWidth="1"/>
    <col min="48" max="48" width="12.42578125" style="180" hidden="1" customWidth="1"/>
    <col min="49" max="49" width="10.5703125" style="180" hidden="1" customWidth="1"/>
    <col min="50" max="50" width="10" style="180" hidden="1" customWidth="1"/>
    <col min="51" max="51" width="12.140625" style="180" hidden="1" customWidth="1"/>
    <col min="52" max="54" width="9.140625" style="180" hidden="1" customWidth="1"/>
    <col min="55" max="55" width="3.28515625" style="180" hidden="1" customWidth="1"/>
    <col min="56" max="56" width="9.140625" style="180" hidden="1" customWidth="1"/>
    <col min="57" max="57" width="4.140625" style="180" hidden="1" customWidth="1"/>
    <col min="58" max="58" width="5" style="180" hidden="1" customWidth="1"/>
    <col min="59" max="59" width="5.140625" style="180" hidden="1" customWidth="1"/>
    <col min="60" max="63" width="6" style="180" hidden="1" customWidth="1"/>
    <col min="64" max="64" width="11.5703125" style="183" hidden="1" customWidth="1"/>
    <col min="65" max="65" width="10" style="258" hidden="1" customWidth="1"/>
    <col min="66" max="66" width="36.85546875" style="258" hidden="1" customWidth="1"/>
    <col min="67" max="239" width="9.140625" style="183" hidden="1" customWidth="1"/>
    <col min="240" max="16384" width="3.28515625" style="183" hidden="1"/>
  </cols>
  <sheetData>
    <row r="1" spans="1:66" s="180" customFormat="1" ht="39.75" customHeight="1">
      <c r="A1" s="127"/>
      <c r="B1" s="366" t="str">
        <f>"INCOME TAX RETURNS PREPARATION PACKAGE "&amp;Y3&amp;"Srinivas Nainala @ 944 123 9875"</f>
        <v>INCOME TAX RETURNS PREPARATION PACKAGE 2013-14Srinivas Nainala @ 944 123 9875</v>
      </c>
      <c r="C1" s="366"/>
      <c r="D1" s="366"/>
      <c r="E1" s="366"/>
      <c r="F1" s="366"/>
      <c r="G1" s="366"/>
      <c r="H1" s="366"/>
      <c r="I1" s="366"/>
      <c r="J1" s="366"/>
      <c r="K1" s="366"/>
      <c r="L1" s="366"/>
      <c r="M1" s="366"/>
      <c r="N1" s="366"/>
      <c r="O1" s="366"/>
      <c r="P1" s="366"/>
      <c r="Q1" s="366"/>
      <c r="R1" s="178"/>
      <c r="S1" s="179"/>
      <c r="T1" s="179"/>
      <c r="U1" s="179"/>
      <c r="V1" s="179"/>
      <c r="AD1" s="180">
        <v>1</v>
      </c>
      <c r="AE1" s="180">
        <v>1</v>
      </c>
      <c r="AF1" s="180">
        <v>8500</v>
      </c>
      <c r="AI1" s="180">
        <f>ROUND(VLOOKUP(AF1,CCA,MATCH($F$28,$AV$2:$AZ$2,0))*AD1/AE1,0)</f>
        <v>120</v>
      </c>
      <c r="BM1" s="254">
        <f>D36</f>
        <v>6500</v>
      </c>
      <c r="BN1" s="255" t="str">
        <f>IF(QUOTIENT(BM1,10000000)=0,"",VLOOKUP(QUOTIENT(BM1,10000000),BM$4:BN$102,2))&amp;LOOKUP(QUOTIENT(BM1,10000000),{0,1,2},{""," crore"," crores"})&amp;IF(QUOTIENT(MOD(BM1,10000000),100000)=0,"",VLOOKUP(QUOTIENT(MOD(BM1,10000000),100000),BM$4:BN$102,2))&amp;LOOKUP(QUOTIENT(MOD(BM1,10000000),100000),{0,1,2},{""," lakh"," lakhs"})&amp;IF(QUOTIENT(MOD(BM1,100000),1000)=0,"",VLOOKUP(QUOTIENT(MOD(BM1,100000),1000),BM$4:BN$102,2))&amp;IF(QUOTIENT(MOD(BM1,100000),1000)=0,""," thousand")&amp;IF(QUOTIENT(MOD(BM1,1000),100)=0,"",VLOOKUP(QUOTIENT(MOD(BM1,1000),100),BM$4:BN$102,2))&amp;IF(QUOTIENT(MOD(BM1,1000),100)=0,""," hundred")&amp;IF(QUOTIENT(BM1,1)=0," zero",IF(OR(QUOTIENT(BM1,100)=0,QUOTIENT(MOD(BM1,100),1)=0),""," and"))&amp;IF(QUOTIENT(MOD(BM1,100),1)=0,"",VLOOKUP(QUOTIENT(MOD(BM1,100),1),BM$4:BN$102,2))</f>
        <v xml:space="preserve"> six thousand five hundred</v>
      </c>
    </row>
    <row r="2" spans="1:66" s="187" customFormat="1" ht="12.6" customHeight="1">
      <c r="A2" s="129"/>
      <c r="B2" s="374" t="s">
        <v>442</v>
      </c>
      <c r="C2" s="301" t="s">
        <v>606</v>
      </c>
      <c r="D2" s="361" t="s">
        <v>596</v>
      </c>
      <c r="E2" s="361"/>
      <c r="F2" s="361"/>
      <c r="G2" s="361"/>
      <c r="H2" s="361"/>
      <c r="I2" s="362"/>
      <c r="J2" s="130"/>
      <c r="K2" s="377" t="s">
        <v>486</v>
      </c>
      <c r="L2" s="301" t="s">
        <v>594</v>
      </c>
      <c r="M2" s="303">
        <v>0</v>
      </c>
      <c r="N2" s="130"/>
      <c r="O2" s="305"/>
      <c r="P2" s="301"/>
      <c r="Q2" s="306">
        <v>0</v>
      </c>
      <c r="R2" s="184"/>
      <c r="S2" s="185"/>
      <c r="T2" s="185">
        <v>1</v>
      </c>
      <c r="U2" s="185"/>
      <c r="V2" s="185"/>
      <c r="W2" s="183"/>
      <c r="X2" s="186" t="s">
        <v>613</v>
      </c>
      <c r="Y2" s="181">
        <v>41275</v>
      </c>
      <c r="AA2" s="182" t="s">
        <v>641</v>
      </c>
      <c r="AB2" s="182"/>
      <c r="AC2" s="182"/>
      <c r="AD2" s="182" t="s">
        <v>517</v>
      </c>
      <c r="AE2" s="182"/>
      <c r="AF2" s="182" t="s">
        <v>89</v>
      </c>
      <c r="AG2" s="182" t="s">
        <v>90</v>
      </c>
      <c r="AH2" s="182" t="s">
        <v>86</v>
      </c>
      <c r="AI2" s="182" t="s">
        <v>91</v>
      </c>
      <c r="AJ2" s="182" t="s">
        <v>602</v>
      </c>
      <c r="AK2" s="182" t="s">
        <v>603</v>
      </c>
      <c r="AL2" s="182" t="str">
        <f>C33</f>
        <v>Z.P.P.F.</v>
      </c>
      <c r="AM2" s="182" t="s">
        <v>87</v>
      </c>
      <c r="AN2" s="182" t="s">
        <v>88</v>
      </c>
      <c r="AO2" s="182">
        <v>0</v>
      </c>
      <c r="AP2" s="188">
        <f>AV11-1</f>
        <v>41394</v>
      </c>
      <c r="AQ2" s="188">
        <f>AV13-1</f>
        <v>41547</v>
      </c>
      <c r="AR2" s="188"/>
      <c r="AS2" s="188" t="s">
        <v>677</v>
      </c>
      <c r="AT2" s="188" t="s">
        <v>728</v>
      </c>
      <c r="AV2" s="182" t="s">
        <v>91</v>
      </c>
      <c r="AW2" s="189" t="s">
        <v>465</v>
      </c>
      <c r="AX2" s="189" t="s">
        <v>466</v>
      </c>
      <c r="AY2" s="189" t="s">
        <v>710</v>
      </c>
      <c r="AZ2" s="189" t="s">
        <v>467</v>
      </c>
      <c r="BA2" s="182" t="s">
        <v>458</v>
      </c>
      <c r="BB2" s="182"/>
      <c r="BC2" s="182" t="s">
        <v>444</v>
      </c>
      <c r="BD2" s="189" t="s">
        <v>42</v>
      </c>
      <c r="BE2" s="182" t="s">
        <v>445</v>
      </c>
      <c r="BF2" s="182" t="s">
        <v>464</v>
      </c>
      <c r="BG2" s="182" t="s">
        <v>525</v>
      </c>
      <c r="BH2" s="182" t="s">
        <v>457</v>
      </c>
      <c r="BI2" s="182" t="s">
        <v>461</v>
      </c>
      <c r="BJ2" s="182" t="s">
        <v>462</v>
      </c>
      <c r="BK2" s="182" t="s">
        <v>463</v>
      </c>
      <c r="BL2" s="187" t="s">
        <v>584</v>
      </c>
      <c r="BM2" s="254">
        <f>'Form No.16'!M64</f>
        <v>4770</v>
      </c>
      <c r="BN2" s="255" t="str">
        <f>IF(QUOTIENT(BM2,10000000)=0,"",VLOOKUP(QUOTIENT(BM2,10000000),BM$4:BN$102,2))&amp;LOOKUP(QUOTIENT(BM2,10000000),{0,1,2},{""," crore"," crores"})&amp;IF(QUOTIENT(MOD(BM2,10000000),100000)=0,"",VLOOKUP(QUOTIENT(MOD(BM2,10000000),100000),BM$4:BN$102,2))&amp;LOOKUP(QUOTIENT(MOD(BM2,10000000),100000),{0,1,2},{""," lakh"," lakhs"})&amp;IF(QUOTIENT(MOD(BM2,100000),1000)=0,"",VLOOKUP(QUOTIENT(MOD(BM2,100000),1000),BM$4:BN$102,2))&amp;IF(QUOTIENT(MOD(BM2,100000),1000)=0,""," thousand")&amp;IF(QUOTIENT(MOD(BM2,1000),100)=0,"",VLOOKUP(QUOTIENT(MOD(BM2,1000),100),BM$4:BN$102,2))&amp;IF(QUOTIENT(MOD(BM2,1000),100)=0,""," hundred")&amp;IF(QUOTIENT(BM2,1)=0," zero",IF(OR(QUOTIENT(BM2,100)=0,QUOTIENT(MOD(BM2,100),1)=0),""," and"))&amp;IF(QUOTIENT(MOD(BM2,100),1)=0,"",VLOOKUP(QUOTIENT(MOD(BM2,100),1),BM$4:BN$102,2))</f>
        <v xml:space="preserve"> four thousand seven hundred and seventy </v>
      </c>
    </row>
    <row r="3" spans="1:66" ht="12.6" customHeight="1">
      <c r="A3" s="131"/>
      <c r="B3" s="375"/>
      <c r="C3" s="215" t="s">
        <v>440</v>
      </c>
      <c r="D3" s="355" t="s">
        <v>586</v>
      </c>
      <c r="E3" s="355"/>
      <c r="F3" s="355"/>
      <c r="G3" s="355"/>
      <c r="H3" s="355"/>
      <c r="I3" s="356"/>
      <c r="J3" s="130"/>
      <c r="K3" s="378"/>
      <c r="L3" s="215" t="s">
        <v>597</v>
      </c>
      <c r="M3" s="304">
        <v>0</v>
      </c>
      <c r="N3" s="130"/>
      <c r="O3" s="307" t="s">
        <v>621</v>
      </c>
      <c r="P3" s="212" t="s">
        <v>681</v>
      </c>
      <c r="Q3" s="308">
        <v>0</v>
      </c>
      <c r="R3" s="184"/>
      <c r="S3" s="185"/>
      <c r="T3" s="185">
        <f>IF(V3=0,T2,T2+1)</f>
        <v>1</v>
      </c>
      <c r="U3" s="185" t="str">
        <f t="shared" ref="U3:V9" si="0">P3</f>
        <v>HRA Exemption</v>
      </c>
      <c r="V3" s="268">
        <f t="shared" si="0"/>
        <v>0</v>
      </c>
      <c r="X3" s="186" t="s">
        <v>520</v>
      </c>
      <c r="Y3" s="182" t="str">
        <f>TEXT(Y2,"YYYY")&amp;"-"&amp;TEXT(EDATE(Y2,12),"YY")</f>
        <v>2013-14</v>
      </c>
      <c r="AA3" s="190">
        <f>Y2</f>
        <v>41275</v>
      </c>
      <c r="AB3" s="218">
        <v>1</v>
      </c>
      <c r="AC3" s="219">
        <f t="shared" ref="AC3:AC21" si="1">IFERROR(SMALL(dates,AB3),"")</f>
        <v>41275</v>
      </c>
      <c r="AD3" s="220">
        <f t="shared" ref="AD3:AD21" si="2">IFERROR(IF(AC3&gt;Upto,"",AC4-AC3),"")</f>
        <v>31</v>
      </c>
      <c r="AE3" s="220">
        <f t="shared" ref="AE3:AE21" si="3">IFERROR(IF(AC3&gt;Upto,"",DAY(EOMONTH(AC3,0))),"")</f>
        <v>31</v>
      </c>
      <c r="AF3" s="221">
        <f>IFERROR(D22,"")</f>
        <v>17540</v>
      </c>
      <c r="AG3" s="222">
        <f t="shared" ref="AG3:AG21" si="4">IFERROR(IF(AF3&lt;6700,0,IF(AC3&gt;Upto,"",ROUND(AF3*VLOOKUP(AC3,DA,2)%,0))),"")</f>
        <v>8408</v>
      </c>
      <c r="AH3" s="222">
        <f t="shared" ref="AH3:AH21" si="5">IF(OR(AF3&lt;6700,AC3&gt;Upto),0,MIN(ROUND((ROUND(AF3*VLOOKUP(AC3,HRATab,2)%,0))*AD3/AE3,0)+IF(AC4=$AA$22,AH4,0),HLOOKUP(F$28,$AW$2:$AZ$7,6,FALSE)))</f>
        <v>2105</v>
      </c>
      <c r="AI3" s="222">
        <f t="shared" ref="AI3:AI21" si="6">IFERROR(ROUND(VLOOKUP(AF3,CCA,MATCH($F$28,$AV$2:$AZ$2,0))*AD3/AE3,0)*VLOOKUP(AC3,HRATab,3),0)+IF(AC4=$AA$22,AI4,0)</f>
        <v>0</v>
      </c>
      <c r="AJ3" s="222">
        <f t="shared" ref="AJ3:AJ21" si="7">IFERROR(IF(OR(AC3&gt;Upto,D$27="No"),0,MIN(1000,ROUND(AF3*8%,0))),"")</f>
        <v>0</v>
      </c>
      <c r="AK3" s="222">
        <f t="shared" ref="AK3:AK21" si="8">IFERROR(IF(OR(AC3&gt;Upto,F$27="No"),0,INDEX(SCA,MATCH(VLOOKUP(AF3,$AV$23:$AV$28,1),$AV$22:$AV$28,0),MATCH($H$27,$AV$22:$AY$22,0))),"")</f>
        <v>0</v>
      </c>
      <c r="AL3" s="222">
        <f>IF($C$33="C.P.S.",ROUND((AF3+AG3)*10%,0),D33)</f>
        <v>2000</v>
      </c>
      <c r="AM3" s="222">
        <f>D34</f>
        <v>1000</v>
      </c>
      <c r="AN3" s="222">
        <f>D35</f>
        <v>60</v>
      </c>
      <c r="AO3" s="222">
        <f>IF(AC3=$G$37,$D$37,IF(AND($I$37="Yes",AC3=$G$38),$D$38,AO2))</f>
        <v>0</v>
      </c>
      <c r="AP3" s="222">
        <f>IF(AF3&lt;6700,0,IF(AND(AC3&gt;=AV$10,AC3&lt;AV$11),(ROUND((ROUND(AF3*(VLOOKUP(AC3,DA,2)+VLOOKUP(AC3,DA,3))%,0)-ROUND(AF3*VLOOKUP(AC3,DA,2)%,0))*AD3/AE3,0)),0))</f>
        <v>1201</v>
      </c>
      <c r="AQ3" s="222">
        <f t="shared" ref="AQ3:AQ21" si="9">IFERROR(IF(AF3&lt;6700,0,IF(AND(AC3&gt;=AV$12,AC3&lt;AV$13),(ROUND((ROUND(AF3*(VLOOKUP(AC3,DA,2)+VLOOKUP(AC3,DA,3))%,0)-ROUND(AF3*VLOOKUP(AC3,DA,2)%,0))*AD3/AE3,0)),0)),"")</f>
        <v>0</v>
      </c>
      <c r="AR3" s="222">
        <f>ROUND(AP3*10%,0)</f>
        <v>120</v>
      </c>
      <c r="AS3" s="223">
        <f>ROUND(AQ3*10%,0)</f>
        <v>0</v>
      </c>
      <c r="AT3" s="193">
        <f>IFERROR(IF(AC3&gt;=41640,ROUND(AF3*27%,0),0),0)</f>
        <v>0</v>
      </c>
      <c r="AV3" s="180">
        <v>0</v>
      </c>
      <c r="AW3" s="180">
        <v>200</v>
      </c>
      <c r="AX3" s="180">
        <v>120</v>
      </c>
      <c r="AY3" s="180">
        <v>120</v>
      </c>
      <c r="AZ3" s="180">
        <v>100</v>
      </c>
      <c r="BA3" s="180" t="s">
        <v>100</v>
      </c>
      <c r="BB3" s="180">
        <v>15</v>
      </c>
      <c r="BC3" s="195">
        <v>1</v>
      </c>
      <c r="BD3" s="196" t="s">
        <v>446</v>
      </c>
      <c r="BE3" s="195">
        <v>1</v>
      </c>
      <c r="BF3" s="180">
        <v>2013</v>
      </c>
      <c r="BG3" s="180">
        <v>1953</v>
      </c>
      <c r="BH3" s="180">
        <v>3600</v>
      </c>
      <c r="BI3" s="180">
        <v>4500</v>
      </c>
      <c r="BJ3" s="180">
        <v>11530</v>
      </c>
      <c r="BL3" s="183" t="s">
        <v>552</v>
      </c>
      <c r="BM3" s="254">
        <f>BM1*12</f>
        <v>78000</v>
      </c>
      <c r="BN3" s="255" t="str">
        <f>IF(QUOTIENT(BM3,10000000)=0,"",VLOOKUP(QUOTIENT(BM3,10000000),BM$4:BN$102,2))&amp;LOOKUP(QUOTIENT(BM3,10000000),{0,1,2},{""," crore"," crores"})&amp;IF(QUOTIENT(MOD(BM3,10000000),100000)=0,"",VLOOKUP(QUOTIENT(MOD(BM3,10000000),100000),BM$4:BN$102,2))&amp;LOOKUP(QUOTIENT(MOD(BM3,10000000),100000),{0,1,2},{""," lakh"," lakhs"})&amp;IF(QUOTIENT(MOD(BM3,100000),1000)=0,"",VLOOKUP(QUOTIENT(MOD(BM3,100000),1000),BM$4:BN$102,2))&amp;IF(QUOTIENT(MOD(BM3,100000),1000)=0,""," thousand")&amp;IF(QUOTIENT(MOD(BM3,1000),100)=0,"",VLOOKUP(QUOTIENT(MOD(BM3,1000),100),BM$4:BN$102,2))&amp;IF(QUOTIENT(MOD(BM3,1000),100)=0,""," hundred")&amp;IF(QUOTIENT(BM3,1)=0," zero",IF(OR(QUOTIENT(BM3,100)=0,QUOTIENT(MOD(BM3,100),1)=0),""," and"))&amp;IF(QUOTIENT(MOD(BM3,100),1)=0,"",VLOOKUP(QUOTIENT(MOD(BM3,100),1),BM$4:BN$102,2))</f>
        <v xml:space="preserve"> seventy eight thousand</v>
      </c>
    </row>
    <row r="4" spans="1:66" ht="12.6" customHeight="1">
      <c r="A4" s="131"/>
      <c r="B4" s="375"/>
      <c r="C4" s="215" t="s">
        <v>608</v>
      </c>
      <c r="D4" s="359" t="s">
        <v>587</v>
      </c>
      <c r="E4" s="359"/>
      <c r="F4" s="359"/>
      <c r="G4" s="359"/>
      <c r="H4" s="359" t="s">
        <v>103</v>
      </c>
      <c r="I4" s="360"/>
      <c r="J4" s="130"/>
      <c r="K4" s="378"/>
      <c r="L4" s="215" t="s">
        <v>616</v>
      </c>
      <c r="M4" s="304">
        <v>0</v>
      </c>
      <c r="N4" s="130"/>
      <c r="O4" s="307"/>
      <c r="P4" s="212" t="s">
        <v>682</v>
      </c>
      <c r="Q4" s="308">
        <v>0</v>
      </c>
      <c r="R4" s="184"/>
      <c r="S4" s="185"/>
      <c r="T4" s="185">
        <f t="shared" ref="T4:T9" si="10">IF(V4=0,T3,T3+1)</f>
        <v>1</v>
      </c>
      <c r="U4" s="185" t="str">
        <f t="shared" si="0"/>
        <v>Transport Exemption</v>
      </c>
      <c r="V4" s="268">
        <f t="shared" si="0"/>
        <v>0</v>
      </c>
      <c r="X4" s="186" t="s">
        <v>524</v>
      </c>
      <c r="Y4" s="182" t="str">
        <f>TEXT(EDATE(Y2,12),"YYYY")&amp;"-"&amp;TEXT(EDATE(Y2,24),"YY")</f>
        <v>2014-15</v>
      </c>
      <c r="AA4" s="190">
        <f>IF(AA3="",EDATE(AA2,2),IF(OR(EDATE(AA3,1)=DoP,EDATE(AA3,1)=DoPO,EDATE(AA3,1)=DoNI,EDATE(AA3,1)=DoAAS),"",EDATE(AA3,1)))</f>
        <v>41306</v>
      </c>
      <c r="AB4" s="224">
        <f>AB3+1</f>
        <v>2</v>
      </c>
      <c r="AC4" s="191">
        <f>IFERROR(SMALL(dates,AB4),"")</f>
        <v>41306</v>
      </c>
      <c r="AD4" s="183">
        <f t="shared" si="2"/>
        <v>28</v>
      </c>
      <c r="AE4" s="183">
        <f t="shared" si="3"/>
        <v>28</v>
      </c>
      <c r="AF4" s="192">
        <f t="shared" ref="AF4:AF21" si="11">IFERROR(IF(AC4&gt;Upto,"",IF(OR(AC4=DoPO),VLOOKUP(AF3,Bpays,3,FALSE),IF(OR(AC4=DoNI,AC4=DoNI2,AC4=DoAAS,AC4=DoP,AC4=AGInc),VLOOKUP(AF3,Bpays,2,FALSE),AF3))),"")</f>
        <v>17540</v>
      </c>
      <c r="AG4" s="193">
        <f t="shared" si="4"/>
        <v>8408</v>
      </c>
      <c r="AH4" s="193">
        <f t="shared" si="5"/>
        <v>2105</v>
      </c>
      <c r="AI4" s="193">
        <f t="shared" si="6"/>
        <v>0</v>
      </c>
      <c r="AJ4" s="193">
        <f t="shared" si="7"/>
        <v>0</v>
      </c>
      <c r="AK4" s="193">
        <f t="shared" si="8"/>
        <v>0</v>
      </c>
      <c r="AL4" s="193">
        <f>IFERROR(IF($C$33="C.P.S.",ROUND((AF3+AG3)*10%,0),IF(AND(F$33="Yes",AC4=G$33),I$33,AL3)),0)</f>
        <v>2000</v>
      </c>
      <c r="AM4" s="193">
        <f>IFERROR(IF(AND(F$34="Yes",AC4=G$34),I$34,AM3),"")</f>
        <v>1000</v>
      </c>
      <c r="AN4" s="193">
        <f>IFERROR(IF(AND(F$35="Yes",AC4=G$35),I$35,AN3),"")</f>
        <v>60</v>
      </c>
      <c r="AO4" s="193">
        <f>IF(AC4=$G$37,$D$37,IF(AND($I$37="Yes",AC4=$G$38),$D$38,AO3))</f>
        <v>0</v>
      </c>
      <c r="AP4" s="193">
        <f t="shared" ref="AP4:AP21" si="12">IFERROR(IF(AF4&lt;6700,0,IF(AND(AC4&gt;=AV$10,AC4&lt;AV$11),(ROUND((ROUND(AF4*(VLOOKUP(AC4,DA,2)+VLOOKUP(AC4,DA,3))%,0)-ROUND(AF4*VLOOKUP(AC4,DA,2)%,0))*AD4/AE4,0)),0)),"")</f>
        <v>1201</v>
      </c>
      <c r="AQ4" s="193">
        <f t="shared" si="9"/>
        <v>0</v>
      </c>
      <c r="AR4" s="193">
        <f>ROUND(AP4*10%,0)</f>
        <v>120</v>
      </c>
      <c r="AS4" s="225">
        <f t="shared" ref="AS4:AS21" si="13">ROUND(AQ4*10%,0)</f>
        <v>0</v>
      </c>
      <c r="AT4" s="193">
        <f t="shared" ref="AT4:AT21" si="14">IFERROR(IF(AC4&gt;=41640,ROUND(AF4*27%,0),0),0)</f>
        <v>0</v>
      </c>
      <c r="AV4" s="180">
        <v>8201</v>
      </c>
      <c r="AW4" s="180">
        <v>300</v>
      </c>
      <c r="AX4" s="180">
        <v>160</v>
      </c>
      <c r="AY4" s="180">
        <v>160</v>
      </c>
      <c r="AZ4" s="180">
        <v>120</v>
      </c>
      <c r="BA4" s="180" t="s">
        <v>459</v>
      </c>
      <c r="BB4" s="180">
        <v>30</v>
      </c>
      <c r="BC4" s="195">
        <v>2</v>
      </c>
      <c r="BD4" s="196" t="s">
        <v>447</v>
      </c>
      <c r="BE4" s="195">
        <v>2</v>
      </c>
      <c r="BF4" s="180">
        <f>BF3+1</f>
        <v>2014</v>
      </c>
      <c r="BG4" s="180">
        <v>1954</v>
      </c>
      <c r="BH4" s="180">
        <v>4500</v>
      </c>
      <c r="BI4" s="180">
        <v>11530</v>
      </c>
      <c r="BL4" s="183" t="s">
        <v>553</v>
      </c>
      <c r="BM4" s="256">
        <v>1</v>
      </c>
      <c r="BN4" s="257" t="s">
        <v>106</v>
      </c>
    </row>
    <row r="5" spans="1:66" ht="12.6" customHeight="1">
      <c r="A5" s="131"/>
      <c r="B5" s="375"/>
      <c r="C5" s="215" t="s">
        <v>607</v>
      </c>
      <c r="D5" s="365" t="s">
        <v>588</v>
      </c>
      <c r="E5" s="365"/>
      <c r="F5" s="365"/>
      <c r="G5" s="233">
        <v>3</v>
      </c>
      <c r="H5" s="233">
        <v>3</v>
      </c>
      <c r="I5" s="302">
        <v>1972</v>
      </c>
      <c r="J5" s="130"/>
      <c r="K5" s="378"/>
      <c r="L5" s="215" t="s">
        <v>488</v>
      </c>
      <c r="M5" s="304">
        <v>0</v>
      </c>
      <c r="N5" s="130"/>
      <c r="O5" s="307"/>
      <c r="P5" s="212" t="s">
        <v>620</v>
      </c>
      <c r="Q5" s="308">
        <v>0</v>
      </c>
      <c r="R5" s="184"/>
      <c r="S5" s="185"/>
      <c r="T5" s="185">
        <f t="shared" si="10"/>
        <v>1</v>
      </c>
      <c r="U5" s="185" t="str">
        <f t="shared" si="0"/>
        <v>Other exemptions under Sec 10 (10) (gratuity, etc.)</v>
      </c>
      <c r="V5" s="268">
        <f t="shared" si="0"/>
        <v>0</v>
      </c>
      <c r="X5" s="186" t="s">
        <v>711</v>
      </c>
      <c r="Y5" s="191">
        <f>EOMONTH(Y2,13)</f>
        <v>41698</v>
      </c>
      <c r="AA5" s="190">
        <f t="shared" ref="AA5:AA17" si="15">IF(AA4="",EDATE(AA3,2),IF(OR(EDATE(AA4,1)=DoP,EDATE(AA4,1)=DoPO,EDATE(AA4,1)=DoNI,EDATE(AA4,1)=DoAAS),"",EDATE(AA4,1)))</f>
        <v>41334</v>
      </c>
      <c r="AB5" s="224">
        <f t="shared" ref="AB5:AB19" si="16">AB4+1</f>
        <v>3</v>
      </c>
      <c r="AC5" s="191">
        <f t="shared" si="1"/>
        <v>41334</v>
      </c>
      <c r="AD5" s="183">
        <f t="shared" si="2"/>
        <v>31</v>
      </c>
      <c r="AE5" s="183">
        <f t="shared" si="3"/>
        <v>31</v>
      </c>
      <c r="AF5" s="192">
        <f t="shared" si="11"/>
        <v>17540</v>
      </c>
      <c r="AG5" s="193">
        <f t="shared" si="4"/>
        <v>8408</v>
      </c>
      <c r="AH5" s="193">
        <f t="shared" si="5"/>
        <v>2105</v>
      </c>
      <c r="AI5" s="193">
        <f t="shared" si="6"/>
        <v>0</v>
      </c>
      <c r="AJ5" s="193">
        <f t="shared" si="7"/>
        <v>0</v>
      </c>
      <c r="AK5" s="193">
        <f t="shared" si="8"/>
        <v>0</v>
      </c>
      <c r="AL5" s="193">
        <f t="shared" ref="AL5:AL21" si="17">IFERROR(IF($C$33="C.P.S.",ROUND((AF4+AG4)*10%,0),IF(AND(F$33="Yes",AC5=G$33),I$33,AL4)),0)</f>
        <v>2000</v>
      </c>
      <c r="AM5" s="193">
        <f t="shared" ref="AM5:AM21" si="18">IFERROR(IF(AND(F$34="Yes",AC5=G$34),I$34,AM4),"")</f>
        <v>1000</v>
      </c>
      <c r="AN5" s="193">
        <f t="shared" ref="AN5:AN21" si="19">IFERROR(IF(AND(F$35="Yes",AC5=G$35),I$35,AN4),"")</f>
        <v>60</v>
      </c>
      <c r="AO5" s="193">
        <f t="shared" ref="AO5:AO21" si="20">IF(AC5=$G$37,$D$37,IF(AND($I$37="Yes",AC5=$G$38),$D$38,AO4))</f>
        <v>0</v>
      </c>
      <c r="AP5" s="193">
        <f t="shared" si="12"/>
        <v>1201</v>
      </c>
      <c r="AQ5" s="193">
        <f t="shared" si="9"/>
        <v>0</v>
      </c>
      <c r="AR5" s="193">
        <f t="shared" ref="AR5:AR21" si="21">ROUND(AP5*10%,0)</f>
        <v>120</v>
      </c>
      <c r="AS5" s="225">
        <f t="shared" si="13"/>
        <v>0</v>
      </c>
      <c r="AT5" s="193">
        <f t="shared" si="14"/>
        <v>0</v>
      </c>
      <c r="AV5" s="180">
        <v>13271</v>
      </c>
      <c r="AW5" s="180">
        <v>350</v>
      </c>
      <c r="AX5" s="180">
        <v>220</v>
      </c>
      <c r="AY5" s="180">
        <v>220</v>
      </c>
      <c r="AZ5" s="180">
        <v>130</v>
      </c>
      <c r="BC5" s="195">
        <v>3</v>
      </c>
      <c r="BD5" s="196" t="s">
        <v>233</v>
      </c>
      <c r="BE5" s="195">
        <v>3</v>
      </c>
      <c r="BF5" s="180">
        <f>BF4+1</f>
        <v>2015</v>
      </c>
      <c r="BG5" s="180">
        <v>1955</v>
      </c>
      <c r="BH5" s="180">
        <v>4400</v>
      </c>
      <c r="BI5" s="180">
        <v>5400</v>
      </c>
      <c r="BJ5" s="180">
        <v>15700</v>
      </c>
      <c r="BL5" s="183" t="s">
        <v>554</v>
      </c>
      <c r="BM5" s="256">
        <v>2</v>
      </c>
      <c r="BN5" s="257" t="s">
        <v>107</v>
      </c>
    </row>
    <row r="6" spans="1:66" ht="12.6" customHeight="1">
      <c r="A6" s="131"/>
      <c r="B6" s="375"/>
      <c r="C6" s="215" t="s">
        <v>605</v>
      </c>
      <c r="D6" s="363" t="s">
        <v>549</v>
      </c>
      <c r="E6" s="363"/>
      <c r="F6" s="363"/>
      <c r="G6" s="363"/>
      <c r="H6" s="363"/>
      <c r="I6" s="364"/>
      <c r="J6" s="130"/>
      <c r="K6" s="378"/>
      <c r="L6" s="215"/>
      <c r="M6" s="321"/>
      <c r="N6" s="130"/>
      <c r="O6" s="307"/>
      <c r="P6" s="212" t="s">
        <v>683</v>
      </c>
      <c r="Q6" s="308">
        <v>0</v>
      </c>
      <c r="R6" s="184"/>
      <c r="S6" s="185"/>
      <c r="T6" s="185">
        <f t="shared" si="10"/>
        <v>1</v>
      </c>
      <c r="U6" s="185" t="str">
        <f t="shared" si="0"/>
        <v>Medical Bills Exemption</v>
      </c>
      <c r="V6" s="268">
        <f t="shared" si="0"/>
        <v>0</v>
      </c>
      <c r="Y6" s="197"/>
      <c r="AA6" s="190">
        <f t="shared" si="15"/>
        <v>41365</v>
      </c>
      <c r="AB6" s="224">
        <f t="shared" si="16"/>
        <v>4</v>
      </c>
      <c r="AC6" s="191">
        <f t="shared" si="1"/>
        <v>41365</v>
      </c>
      <c r="AD6" s="183">
        <f t="shared" si="2"/>
        <v>30</v>
      </c>
      <c r="AE6" s="183">
        <f t="shared" si="3"/>
        <v>30</v>
      </c>
      <c r="AF6" s="192">
        <f t="shared" si="11"/>
        <v>17540</v>
      </c>
      <c r="AG6" s="193">
        <f t="shared" si="4"/>
        <v>8408</v>
      </c>
      <c r="AH6" s="193">
        <f t="shared" si="5"/>
        <v>2105</v>
      </c>
      <c r="AI6" s="193">
        <f t="shared" si="6"/>
        <v>0</v>
      </c>
      <c r="AJ6" s="193">
        <f t="shared" si="7"/>
        <v>0</v>
      </c>
      <c r="AK6" s="193">
        <f t="shared" si="8"/>
        <v>0</v>
      </c>
      <c r="AL6" s="193">
        <f t="shared" si="17"/>
        <v>2000</v>
      </c>
      <c r="AM6" s="193">
        <f t="shared" si="18"/>
        <v>1000</v>
      </c>
      <c r="AN6" s="193">
        <f t="shared" si="19"/>
        <v>60</v>
      </c>
      <c r="AO6" s="193">
        <f t="shared" si="20"/>
        <v>0</v>
      </c>
      <c r="AP6" s="193">
        <f t="shared" si="12"/>
        <v>1201</v>
      </c>
      <c r="AQ6" s="193">
        <f t="shared" si="9"/>
        <v>0</v>
      </c>
      <c r="AR6" s="193">
        <f t="shared" si="21"/>
        <v>120</v>
      </c>
      <c r="AS6" s="225">
        <f t="shared" si="13"/>
        <v>0</v>
      </c>
      <c r="AT6" s="193">
        <f t="shared" si="14"/>
        <v>0</v>
      </c>
      <c r="AV6" s="180">
        <v>18031</v>
      </c>
      <c r="AW6" s="180">
        <v>525</v>
      </c>
      <c r="AX6" s="180">
        <v>350</v>
      </c>
      <c r="AY6" s="180">
        <v>350</v>
      </c>
      <c r="AZ6" s="180">
        <v>140</v>
      </c>
      <c r="BA6" s="182" t="s">
        <v>460</v>
      </c>
      <c r="BB6" s="180" t="s">
        <v>527</v>
      </c>
      <c r="BC6" s="195">
        <v>4</v>
      </c>
      <c r="BD6" s="196" t="s">
        <v>448</v>
      </c>
      <c r="BE6" s="195">
        <v>4</v>
      </c>
      <c r="BG6" s="180">
        <v>1956</v>
      </c>
      <c r="BH6" s="180">
        <v>5400</v>
      </c>
      <c r="BI6" s="180">
        <v>15700</v>
      </c>
      <c r="BL6" s="183" t="s">
        <v>555</v>
      </c>
      <c r="BM6" s="256">
        <v>3</v>
      </c>
      <c r="BN6" s="257" t="s">
        <v>108</v>
      </c>
    </row>
    <row r="7" spans="1:66" ht="12.6" customHeight="1">
      <c r="A7" s="131"/>
      <c r="B7" s="375"/>
      <c r="C7" s="215"/>
      <c r="D7" s="355" t="s">
        <v>550</v>
      </c>
      <c r="E7" s="355"/>
      <c r="F7" s="355"/>
      <c r="G7" s="355"/>
      <c r="H7" s="355"/>
      <c r="I7" s="356"/>
      <c r="J7" s="130"/>
      <c r="K7" s="378"/>
      <c r="L7" s="215"/>
      <c r="M7" s="321"/>
      <c r="N7" s="130"/>
      <c r="O7" s="307"/>
      <c r="P7" s="212" t="s">
        <v>684</v>
      </c>
      <c r="Q7" s="308">
        <v>0</v>
      </c>
      <c r="R7" s="184"/>
      <c r="S7" s="185"/>
      <c r="T7" s="185">
        <f t="shared" si="10"/>
        <v>1</v>
      </c>
      <c r="U7" s="185" t="str">
        <f t="shared" si="0"/>
        <v>Children's Education Allowance Exemption</v>
      </c>
      <c r="V7" s="268">
        <f t="shared" si="0"/>
        <v>0</v>
      </c>
      <c r="X7" s="183" t="str">
        <f>TRIM(D2)</f>
        <v>Nainala Srinivas</v>
      </c>
      <c r="Y7" s="197"/>
      <c r="AA7" s="190">
        <f t="shared" si="15"/>
        <v>41395</v>
      </c>
      <c r="AB7" s="224">
        <f t="shared" si="16"/>
        <v>5</v>
      </c>
      <c r="AC7" s="191">
        <f t="shared" si="1"/>
        <v>41395</v>
      </c>
      <c r="AD7" s="183">
        <f t="shared" si="2"/>
        <v>31</v>
      </c>
      <c r="AE7" s="183">
        <f t="shared" si="3"/>
        <v>31</v>
      </c>
      <c r="AF7" s="192">
        <f t="shared" si="11"/>
        <v>17540</v>
      </c>
      <c r="AG7" s="193">
        <f t="shared" si="4"/>
        <v>9609</v>
      </c>
      <c r="AH7" s="193">
        <f t="shared" si="5"/>
        <v>2105</v>
      </c>
      <c r="AI7" s="193">
        <f t="shared" si="6"/>
        <v>0</v>
      </c>
      <c r="AJ7" s="193">
        <f t="shared" si="7"/>
        <v>0</v>
      </c>
      <c r="AK7" s="193">
        <f t="shared" si="8"/>
        <v>0</v>
      </c>
      <c r="AL7" s="193">
        <f t="shared" si="17"/>
        <v>2000</v>
      </c>
      <c r="AM7" s="193">
        <f t="shared" si="18"/>
        <v>1000</v>
      </c>
      <c r="AN7" s="193">
        <f t="shared" si="19"/>
        <v>60</v>
      </c>
      <c r="AO7" s="193">
        <f t="shared" si="20"/>
        <v>0</v>
      </c>
      <c r="AP7" s="193">
        <f t="shared" si="12"/>
        <v>0</v>
      </c>
      <c r="AQ7" s="193">
        <f t="shared" si="9"/>
        <v>0</v>
      </c>
      <c r="AR7" s="193">
        <f t="shared" si="21"/>
        <v>0</v>
      </c>
      <c r="AS7" s="225">
        <f t="shared" si="13"/>
        <v>0</v>
      </c>
      <c r="AT7" s="193">
        <f t="shared" si="14"/>
        <v>0</v>
      </c>
      <c r="AV7" s="182" t="s">
        <v>544</v>
      </c>
      <c r="AW7" s="180">
        <v>12000</v>
      </c>
      <c r="AX7" s="180">
        <v>8000</v>
      </c>
      <c r="AY7" s="180">
        <v>8000</v>
      </c>
      <c r="AZ7" s="180">
        <v>8000</v>
      </c>
      <c r="BA7" s="180" t="s">
        <v>483</v>
      </c>
      <c r="BB7" s="180" t="s">
        <v>528</v>
      </c>
      <c r="BC7" s="195">
        <v>5</v>
      </c>
      <c r="BD7" s="196" t="s">
        <v>449</v>
      </c>
      <c r="BE7" s="195">
        <v>5</v>
      </c>
      <c r="BG7" s="180">
        <v>1957</v>
      </c>
      <c r="BH7" s="180">
        <v>6700</v>
      </c>
      <c r="BI7" s="180">
        <v>6900</v>
      </c>
      <c r="BJ7" s="180">
        <v>7100</v>
      </c>
      <c r="BK7" s="180">
        <v>7300</v>
      </c>
      <c r="BL7" s="183" t="s">
        <v>556</v>
      </c>
      <c r="BM7" s="256">
        <v>4</v>
      </c>
      <c r="BN7" s="257" t="s">
        <v>109</v>
      </c>
    </row>
    <row r="8" spans="1:66" ht="12.6" customHeight="1">
      <c r="A8" s="131"/>
      <c r="B8" s="375"/>
      <c r="C8" s="215" t="s">
        <v>228</v>
      </c>
      <c r="D8" s="363" t="s">
        <v>650</v>
      </c>
      <c r="E8" s="363"/>
      <c r="F8" s="363"/>
      <c r="G8" s="363"/>
      <c r="H8" s="363"/>
      <c r="I8" s="364"/>
      <c r="J8" s="130"/>
      <c r="K8" s="378"/>
      <c r="L8" s="215"/>
      <c r="M8" s="321"/>
      <c r="N8" s="130"/>
      <c r="O8" s="307"/>
      <c r="P8" s="212" t="s">
        <v>685</v>
      </c>
      <c r="Q8" s="308">
        <v>0</v>
      </c>
      <c r="R8" s="184"/>
      <c r="S8" s="185"/>
      <c r="T8" s="185">
        <f t="shared" si="10"/>
        <v>1</v>
      </c>
      <c r="U8" s="185" t="str">
        <f t="shared" si="0"/>
        <v>LTA exemption</v>
      </c>
      <c r="V8" s="268">
        <f t="shared" si="0"/>
        <v>0</v>
      </c>
      <c r="X8" s="183">
        <f>SEARCH(" ",X7)</f>
        <v>8</v>
      </c>
      <c r="Y8" s="183" t="str">
        <f>LEFT(X7,X8)</f>
        <v xml:space="preserve">Nainala </v>
      </c>
      <c r="AA8" s="190">
        <f t="shared" si="15"/>
        <v>41426</v>
      </c>
      <c r="AB8" s="224">
        <f t="shared" si="16"/>
        <v>6</v>
      </c>
      <c r="AC8" s="191">
        <f t="shared" si="1"/>
        <v>41426</v>
      </c>
      <c r="AD8" s="183">
        <f t="shared" si="2"/>
        <v>30</v>
      </c>
      <c r="AE8" s="183">
        <f t="shared" si="3"/>
        <v>30</v>
      </c>
      <c r="AF8" s="192">
        <f t="shared" si="11"/>
        <v>17540</v>
      </c>
      <c r="AG8" s="193">
        <f t="shared" si="4"/>
        <v>9609</v>
      </c>
      <c r="AH8" s="193">
        <f t="shared" si="5"/>
        <v>2105</v>
      </c>
      <c r="AI8" s="193">
        <f t="shared" si="6"/>
        <v>0</v>
      </c>
      <c r="AJ8" s="193">
        <f t="shared" si="7"/>
        <v>0</v>
      </c>
      <c r="AK8" s="193">
        <f t="shared" si="8"/>
        <v>0</v>
      </c>
      <c r="AL8" s="193">
        <f t="shared" si="17"/>
        <v>2000</v>
      </c>
      <c r="AM8" s="193">
        <f t="shared" si="18"/>
        <v>1000</v>
      </c>
      <c r="AN8" s="193">
        <f t="shared" si="19"/>
        <v>60</v>
      </c>
      <c r="AO8" s="193">
        <f t="shared" si="20"/>
        <v>0</v>
      </c>
      <c r="AP8" s="193">
        <f t="shared" si="12"/>
        <v>0</v>
      </c>
      <c r="AQ8" s="193">
        <f t="shared" si="9"/>
        <v>0</v>
      </c>
      <c r="AR8" s="193">
        <f t="shared" si="21"/>
        <v>0</v>
      </c>
      <c r="AS8" s="225">
        <f t="shared" si="13"/>
        <v>0</v>
      </c>
      <c r="AT8" s="193">
        <f t="shared" si="14"/>
        <v>0</v>
      </c>
      <c r="AV8" s="193"/>
      <c r="AW8" s="193"/>
      <c r="AX8" s="193"/>
      <c r="AY8" s="193"/>
      <c r="AZ8" s="193"/>
      <c r="BA8" s="180" t="s">
        <v>101</v>
      </c>
      <c r="BB8" s="180" t="s">
        <v>467</v>
      </c>
      <c r="BC8" s="195">
        <v>6</v>
      </c>
      <c r="BD8" s="196" t="s">
        <v>450</v>
      </c>
      <c r="BE8" s="195">
        <v>6</v>
      </c>
      <c r="BG8" s="180">
        <v>1958</v>
      </c>
      <c r="BH8" s="199">
        <v>6900</v>
      </c>
      <c r="BI8" s="199">
        <v>7100</v>
      </c>
      <c r="BJ8" s="199">
        <v>7300</v>
      </c>
      <c r="BK8" s="199">
        <v>7520</v>
      </c>
      <c r="BL8" s="183" t="s">
        <v>557</v>
      </c>
      <c r="BM8" s="256">
        <v>5</v>
      </c>
      <c r="BN8" s="257" t="s">
        <v>110</v>
      </c>
    </row>
    <row r="9" spans="1:66" ht="12.6" customHeight="1">
      <c r="A9" s="131"/>
      <c r="B9" s="375"/>
      <c r="C9" s="215"/>
      <c r="D9" s="355" t="s">
        <v>652</v>
      </c>
      <c r="E9" s="355"/>
      <c r="F9" s="355"/>
      <c r="G9" s="355"/>
      <c r="H9" s="355"/>
      <c r="I9" s="356"/>
      <c r="J9" s="130"/>
      <c r="K9" s="378"/>
      <c r="L9" s="215"/>
      <c r="M9" s="321"/>
      <c r="N9" s="130"/>
      <c r="O9" s="307"/>
      <c r="P9" s="212" t="s">
        <v>686</v>
      </c>
      <c r="Q9" s="308">
        <v>0</v>
      </c>
      <c r="R9" s="184"/>
      <c r="S9" s="185"/>
      <c r="T9" s="185">
        <f t="shared" si="10"/>
        <v>1</v>
      </c>
      <c r="U9" s="185" t="str">
        <f t="shared" si="0"/>
        <v>Uniform expenses</v>
      </c>
      <c r="V9" s="268">
        <f t="shared" si="0"/>
        <v>0</v>
      </c>
      <c r="X9" s="183">
        <f>IF(ISERROR(SEARCH(" ",X7,X8+1)),LEN(D2),SEARCH(" ",X7,X8+1))</f>
        <v>16</v>
      </c>
      <c r="Y9" s="183" t="str">
        <f>MID(X7,X8+1,X9-X8)</f>
        <v>Srinivas</v>
      </c>
      <c r="AA9" s="190">
        <f t="shared" si="15"/>
        <v>41456</v>
      </c>
      <c r="AB9" s="224">
        <f t="shared" si="16"/>
        <v>7</v>
      </c>
      <c r="AC9" s="191">
        <f t="shared" si="1"/>
        <v>41456</v>
      </c>
      <c r="AD9" s="183">
        <f t="shared" si="2"/>
        <v>31</v>
      </c>
      <c r="AE9" s="183">
        <f t="shared" si="3"/>
        <v>31</v>
      </c>
      <c r="AF9" s="192">
        <f t="shared" si="11"/>
        <v>17540</v>
      </c>
      <c r="AG9" s="193">
        <f t="shared" si="4"/>
        <v>9609</v>
      </c>
      <c r="AH9" s="193">
        <f t="shared" si="5"/>
        <v>2105</v>
      </c>
      <c r="AI9" s="193">
        <f t="shared" si="6"/>
        <v>0</v>
      </c>
      <c r="AJ9" s="193">
        <f t="shared" si="7"/>
        <v>0</v>
      </c>
      <c r="AK9" s="193">
        <f t="shared" si="8"/>
        <v>0</v>
      </c>
      <c r="AL9" s="193">
        <f t="shared" si="17"/>
        <v>2000</v>
      </c>
      <c r="AM9" s="193">
        <f t="shared" si="18"/>
        <v>1000</v>
      </c>
      <c r="AN9" s="193">
        <f t="shared" si="19"/>
        <v>60</v>
      </c>
      <c r="AO9" s="193">
        <f t="shared" si="20"/>
        <v>0</v>
      </c>
      <c r="AP9" s="193">
        <f t="shared" si="12"/>
        <v>0</v>
      </c>
      <c r="AQ9" s="193">
        <f t="shared" si="9"/>
        <v>1502</v>
      </c>
      <c r="AR9" s="193">
        <f t="shared" si="21"/>
        <v>0</v>
      </c>
      <c r="AS9" s="225">
        <f t="shared" si="13"/>
        <v>150</v>
      </c>
      <c r="AT9" s="193">
        <f t="shared" si="14"/>
        <v>0</v>
      </c>
      <c r="AV9" s="182" t="s">
        <v>542</v>
      </c>
      <c r="AW9" s="182" t="s">
        <v>677</v>
      </c>
      <c r="AX9" s="182" t="s">
        <v>678</v>
      </c>
      <c r="AY9" s="189" t="s">
        <v>592</v>
      </c>
      <c r="AZ9" s="193"/>
      <c r="BC9" s="195">
        <v>7</v>
      </c>
      <c r="BD9" s="196" t="s">
        <v>451</v>
      </c>
      <c r="BE9" s="195">
        <v>7</v>
      </c>
      <c r="BG9" s="180">
        <v>1959</v>
      </c>
      <c r="BH9" s="199">
        <v>7100</v>
      </c>
      <c r="BI9" s="199">
        <v>7300</v>
      </c>
      <c r="BJ9" s="199">
        <v>7520</v>
      </c>
      <c r="BK9" s="199">
        <v>7740</v>
      </c>
      <c r="BL9" s="183" t="s">
        <v>558</v>
      </c>
      <c r="BM9" s="256">
        <v>6</v>
      </c>
      <c r="BN9" s="257" t="s">
        <v>111</v>
      </c>
    </row>
    <row r="10" spans="1:66" ht="12.6" customHeight="1">
      <c r="A10" s="131"/>
      <c r="B10" s="376"/>
      <c r="C10" s="235"/>
      <c r="D10" s="357" t="s">
        <v>651</v>
      </c>
      <c r="E10" s="357"/>
      <c r="F10" s="357"/>
      <c r="G10" s="357"/>
      <c r="H10" s="357"/>
      <c r="I10" s="358"/>
      <c r="J10" s="130"/>
      <c r="K10" s="379"/>
      <c r="L10" s="235"/>
      <c r="M10" s="322"/>
      <c r="N10" s="130"/>
      <c r="O10" s="307" t="s">
        <v>508</v>
      </c>
      <c r="P10" s="335" t="s">
        <v>670</v>
      </c>
      <c r="Q10" s="308">
        <v>5000</v>
      </c>
      <c r="R10" s="184"/>
      <c r="S10" s="185"/>
      <c r="T10" s="185"/>
      <c r="U10" s="185"/>
      <c r="V10" s="185"/>
      <c r="X10" s="183">
        <f>LEN(X7)</f>
        <v>16</v>
      </c>
      <c r="Y10" s="180" t="str">
        <f>RIGHT(X7,X10-X9)</f>
        <v/>
      </c>
      <c r="AA10" s="190">
        <f t="shared" si="15"/>
        <v>41487</v>
      </c>
      <c r="AB10" s="224">
        <f t="shared" si="16"/>
        <v>8</v>
      </c>
      <c r="AC10" s="191">
        <f t="shared" si="1"/>
        <v>41487</v>
      </c>
      <c r="AD10" s="183">
        <f t="shared" si="2"/>
        <v>31</v>
      </c>
      <c r="AE10" s="183">
        <f t="shared" si="3"/>
        <v>31</v>
      </c>
      <c r="AF10" s="192">
        <f t="shared" si="11"/>
        <v>17540</v>
      </c>
      <c r="AG10" s="193">
        <f t="shared" si="4"/>
        <v>9609</v>
      </c>
      <c r="AH10" s="193">
        <f t="shared" si="5"/>
        <v>2105</v>
      </c>
      <c r="AI10" s="193">
        <f t="shared" si="6"/>
        <v>0</v>
      </c>
      <c r="AJ10" s="193">
        <f t="shared" si="7"/>
        <v>0</v>
      </c>
      <c r="AK10" s="193">
        <f t="shared" si="8"/>
        <v>0</v>
      </c>
      <c r="AL10" s="193">
        <f t="shared" si="17"/>
        <v>2000</v>
      </c>
      <c r="AM10" s="193">
        <f t="shared" si="18"/>
        <v>1000</v>
      </c>
      <c r="AN10" s="193">
        <f t="shared" si="19"/>
        <v>60</v>
      </c>
      <c r="AO10" s="193">
        <f t="shared" si="20"/>
        <v>0</v>
      </c>
      <c r="AP10" s="193">
        <f t="shared" si="12"/>
        <v>0</v>
      </c>
      <c r="AQ10" s="193">
        <f t="shared" si="9"/>
        <v>1502</v>
      </c>
      <c r="AR10" s="193">
        <f t="shared" si="21"/>
        <v>0</v>
      </c>
      <c r="AS10" s="225">
        <f t="shared" si="13"/>
        <v>150</v>
      </c>
      <c r="AT10" s="193">
        <f t="shared" si="14"/>
        <v>0</v>
      </c>
      <c r="AV10" s="191">
        <v>41275</v>
      </c>
      <c r="AW10" s="200">
        <v>47.936</v>
      </c>
      <c r="AX10" s="200">
        <f>AW11-AW10</f>
        <v>6.847999999999999</v>
      </c>
      <c r="AY10" s="191" t="s">
        <v>593</v>
      </c>
      <c r="AZ10" s="191" t="str">
        <f>IF(F33="No","",G33)</f>
        <v/>
      </c>
      <c r="BA10" s="182" t="s">
        <v>86</v>
      </c>
      <c r="BB10" s="182" t="s">
        <v>88</v>
      </c>
      <c r="BC10" s="195">
        <v>8</v>
      </c>
      <c r="BD10" s="196" t="s">
        <v>452</v>
      </c>
      <c r="BE10" s="195">
        <v>8</v>
      </c>
      <c r="BG10" s="180">
        <v>1960</v>
      </c>
      <c r="BH10" s="199">
        <v>7300</v>
      </c>
      <c r="BI10" s="199">
        <v>7520</v>
      </c>
      <c r="BJ10" s="199">
        <v>7740</v>
      </c>
      <c r="BK10" s="199">
        <v>7960</v>
      </c>
      <c r="BL10" s="183" t="s">
        <v>559</v>
      </c>
      <c r="BM10" s="256">
        <v>7</v>
      </c>
      <c r="BN10" s="257" t="s">
        <v>112</v>
      </c>
    </row>
    <row r="11" spans="1:66" ht="12.6" customHeight="1">
      <c r="A11" s="131"/>
      <c r="B11" s="130"/>
      <c r="C11" s="133"/>
      <c r="J11" s="130"/>
      <c r="N11" s="130"/>
      <c r="O11" s="307"/>
      <c r="P11" s="335" t="s">
        <v>664</v>
      </c>
      <c r="Q11" s="308">
        <v>0</v>
      </c>
      <c r="R11" s="184"/>
      <c r="S11" s="185"/>
      <c r="T11" s="185"/>
      <c r="U11" s="185"/>
      <c r="V11" s="185"/>
      <c r="Y11" s="197"/>
      <c r="AA11" s="190">
        <f t="shared" si="15"/>
        <v>41518</v>
      </c>
      <c r="AB11" s="224">
        <f>AB10+1</f>
        <v>9</v>
      </c>
      <c r="AC11" s="191">
        <f t="shared" si="1"/>
        <v>41518</v>
      </c>
      <c r="AD11" s="183">
        <f t="shared" si="2"/>
        <v>30</v>
      </c>
      <c r="AE11" s="183">
        <f t="shared" si="3"/>
        <v>30</v>
      </c>
      <c r="AF11" s="192">
        <f t="shared" si="11"/>
        <v>17540</v>
      </c>
      <c r="AG11" s="193">
        <f t="shared" si="4"/>
        <v>9609</v>
      </c>
      <c r="AH11" s="193">
        <f t="shared" si="5"/>
        <v>2105</v>
      </c>
      <c r="AI11" s="193">
        <f t="shared" si="6"/>
        <v>0</v>
      </c>
      <c r="AJ11" s="193">
        <f t="shared" si="7"/>
        <v>0</v>
      </c>
      <c r="AK11" s="193">
        <f t="shared" si="8"/>
        <v>0</v>
      </c>
      <c r="AL11" s="193">
        <f t="shared" si="17"/>
        <v>2000</v>
      </c>
      <c r="AM11" s="193">
        <f t="shared" si="18"/>
        <v>1000</v>
      </c>
      <c r="AN11" s="193">
        <f t="shared" si="19"/>
        <v>60</v>
      </c>
      <c r="AO11" s="193">
        <f t="shared" si="20"/>
        <v>0</v>
      </c>
      <c r="AP11" s="193">
        <f t="shared" si="12"/>
        <v>0</v>
      </c>
      <c r="AQ11" s="193">
        <f t="shared" si="9"/>
        <v>1502</v>
      </c>
      <c r="AR11" s="193">
        <f t="shared" si="21"/>
        <v>0</v>
      </c>
      <c r="AS11" s="225">
        <f t="shared" si="13"/>
        <v>150</v>
      </c>
      <c r="AT11" s="193">
        <f t="shared" si="14"/>
        <v>0</v>
      </c>
      <c r="AV11" s="191">
        <v>41395</v>
      </c>
      <c r="AW11" s="200">
        <v>54.783999999999999</v>
      </c>
      <c r="AX11" s="200">
        <f>AW12-AW11</f>
        <v>0</v>
      </c>
      <c r="AY11" s="191" t="s">
        <v>87</v>
      </c>
      <c r="AZ11" s="191" t="str">
        <f>IF(F34="No","",G34)</f>
        <v/>
      </c>
      <c r="BA11" s="180">
        <v>30</v>
      </c>
      <c r="BB11" s="180">
        <v>15</v>
      </c>
      <c r="BC11" s="195">
        <v>9</v>
      </c>
      <c r="BD11" s="196" t="s">
        <v>453</v>
      </c>
      <c r="BE11" s="195">
        <v>9</v>
      </c>
      <c r="BG11" s="180">
        <v>1961</v>
      </c>
      <c r="BH11" s="199">
        <v>7520</v>
      </c>
      <c r="BI11" s="199">
        <v>7740</v>
      </c>
      <c r="BJ11" s="199">
        <v>7960</v>
      </c>
      <c r="BK11" s="199">
        <v>8200</v>
      </c>
      <c r="BL11" s="183" t="s">
        <v>560</v>
      </c>
      <c r="BM11" s="256">
        <v>8</v>
      </c>
      <c r="BN11" s="257" t="s">
        <v>113</v>
      </c>
    </row>
    <row r="12" spans="1:66" ht="12.6" customHeight="1">
      <c r="A12" s="131"/>
      <c r="B12" s="377" t="s">
        <v>487</v>
      </c>
      <c r="C12" s="301" t="s">
        <v>102</v>
      </c>
      <c r="D12" s="361" t="s">
        <v>546</v>
      </c>
      <c r="E12" s="361"/>
      <c r="F12" s="361"/>
      <c r="G12" s="361"/>
      <c r="H12" s="361"/>
      <c r="I12" s="362"/>
      <c r="J12" s="130"/>
      <c r="K12" s="377" t="s">
        <v>720</v>
      </c>
      <c r="L12" s="215" t="s">
        <v>491</v>
      </c>
      <c r="M12" s="304">
        <v>0</v>
      </c>
      <c r="N12" s="130"/>
      <c r="O12" s="307"/>
      <c r="P12" s="335" t="s">
        <v>665</v>
      </c>
      <c r="Q12" s="308">
        <v>0</v>
      </c>
      <c r="R12" s="184"/>
      <c r="S12" s="185"/>
      <c r="T12" s="185"/>
      <c r="U12" s="185"/>
      <c r="V12" s="185"/>
      <c r="Y12" s="197"/>
      <c r="AA12" s="190" t="str">
        <f t="shared" si="15"/>
        <v/>
      </c>
      <c r="AB12" s="224">
        <f>AB11+1</f>
        <v>10</v>
      </c>
      <c r="AC12" s="191">
        <f t="shared" si="1"/>
        <v>41548</v>
      </c>
      <c r="AD12" s="183">
        <f t="shared" si="2"/>
        <v>31</v>
      </c>
      <c r="AE12" s="183">
        <f t="shared" si="3"/>
        <v>31</v>
      </c>
      <c r="AF12" s="192">
        <f t="shared" si="11"/>
        <v>18030</v>
      </c>
      <c r="AG12" s="193">
        <f t="shared" si="4"/>
        <v>11421</v>
      </c>
      <c r="AH12" s="193">
        <f t="shared" si="5"/>
        <v>2164</v>
      </c>
      <c r="AI12" s="193">
        <f t="shared" si="6"/>
        <v>0</v>
      </c>
      <c r="AJ12" s="193">
        <f t="shared" si="7"/>
        <v>0</v>
      </c>
      <c r="AK12" s="193">
        <f t="shared" si="8"/>
        <v>0</v>
      </c>
      <c r="AL12" s="193">
        <f t="shared" si="17"/>
        <v>2000</v>
      </c>
      <c r="AM12" s="193">
        <f t="shared" si="18"/>
        <v>1000</v>
      </c>
      <c r="AN12" s="193">
        <f t="shared" si="19"/>
        <v>60</v>
      </c>
      <c r="AO12" s="193">
        <f t="shared" si="20"/>
        <v>0</v>
      </c>
      <c r="AP12" s="193">
        <f t="shared" si="12"/>
        <v>0</v>
      </c>
      <c r="AQ12" s="193">
        <f t="shared" si="9"/>
        <v>0</v>
      </c>
      <c r="AR12" s="193">
        <f t="shared" si="21"/>
        <v>0</v>
      </c>
      <c r="AS12" s="225">
        <f t="shared" si="13"/>
        <v>0</v>
      </c>
      <c r="AT12" s="193">
        <f t="shared" si="14"/>
        <v>0</v>
      </c>
      <c r="AV12" s="191">
        <v>41456</v>
      </c>
      <c r="AW12" s="200">
        <v>54.783999999999999</v>
      </c>
      <c r="AX12" s="200">
        <f>AW13-AW12</f>
        <v>8.5600000000000023</v>
      </c>
      <c r="AY12" s="191" t="s">
        <v>88</v>
      </c>
      <c r="AZ12" s="191" t="str">
        <f>IF(F35="No","",G35)</f>
        <v/>
      </c>
      <c r="BA12" s="180">
        <v>20</v>
      </c>
      <c r="BB12" s="180">
        <v>30</v>
      </c>
      <c r="BC12" s="195">
        <v>10</v>
      </c>
      <c r="BD12" s="196" t="s">
        <v>454</v>
      </c>
      <c r="BE12" s="195">
        <v>10</v>
      </c>
      <c r="BG12" s="180">
        <v>1962</v>
      </c>
      <c r="BH12" s="199">
        <v>7740</v>
      </c>
      <c r="BI12" s="199">
        <v>7960</v>
      </c>
      <c r="BJ12" s="199">
        <v>8200</v>
      </c>
      <c r="BK12" s="199">
        <v>8440</v>
      </c>
      <c r="BL12" s="183" t="s">
        <v>561</v>
      </c>
      <c r="BM12" s="256">
        <v>9</v>
      </c>
      <c r="BN12" s="257" t="s">
        <v>114</v>
      </c>
    </row>
    <row r="13" spans="1:66" ht="12.6" customHeight="1">
      <c r="A13" s="131"/>
      <c r="B13" s="378"/>
      <c r="C13" s="215" t="s">
        <v>99</v>
      </c>
      <c r="D13" s="355" t="s">
        <v>547</v>
      </c>
      <c r="E13" s="355"/>
      <c r="F13" s="355"/>
      <c r="G13" s="355"/>
      <c r="H13" s="355"/>
      <c r="I13" s="356"/>
      <c r="J13" s="130"/>
      <c r="K13" s="378"/>
      <c r="L13" s="215"/>
      <c r="M13" s="321"/>
      <c r="N13" s="130"/>
      <c r="O13" s="307"/>
      <c r="P13" s="335" t="s">
        <v>666</v>
      </c>
      <c r="Q13" s="308">
        <v>50000</v>
      </c>
      <c r="R13" s="184"/>
      <c r="S13" s="185"/>
      <c r="T13" s="198">
        <f>IF(V13&gt;0,W12+1,W12)</f>
        <v>1</v>
      </c>
      <c r="U13" s="183" t="s">
        <v>508</v>
      </c>
      <c r="V13" s="203">
        <f>SUM(Q10:Q25)</f>
        <v>75000</v>
      </c>
      <c r="AA13" s="190">
        <f t="shared" si="15"/>
        <v>41579</v>
      </c>
      <c r="AB13" s="224">
        <f t="shared" si="16"/>
        <v>11</v>
      </c>
      <c r="AC13" s="191">
        <f t="shared" si="1"/>
        <v>41579</v>
      </c>
      <c r="AD13" s="183">
        <f t="shared" si="2"/>
        <v>30</v>
      </c>
      <c r="AE13" s="183">
        <f t="shared" si="3"/>
        <v>30</v>
      </c>
      <c r="AF13" s="192">
        <f t="shared" si="11"/>
        <v>18030</v>
      </c>
      <c r="AG13" s="193">
        <f t="shared" si="4"/>
        <v>11421</v>
      </c>
      <c r="AH13" s="193">
        <f t="shared" si="5"/>
        <v>2164</v>
      </c>
      <c r="AI13" s="193">
        <f t="shared" si="6"/>
        <v>0</v>
      </c>
      <c r="AJ13" s="193">
        <f t="shared" si="7"/>
        <v>0</v>
      </c>
      <c r="AK13" s="193">
        <f t="shared" si="8"/>
        <v>0</v>
      </c>
      <c r="AL13" s="193">
        <f t="shared" si="17"/>
        <v>2000</v>
      </c>
      <c r="AM13" s="193">
        <f t="shared" si="18"/>
        <v>1000</v>
      </c>
      <c r="AN13" s="193">
        <f t="shared" si="19"/>
        <v>60</v>
      </c>
      <c r="AO13" s="193">
        <f t="shared" si="20"/>
        <v>0</v>
      </c>
      <c r="AP13" s="193">
        <f t="shared" si="12"/>
        <v>0</v>
      </c>
      <c r="AQ13" s="193">
        <f t="shared" si="9"/>
        <v>0</v>
      </c>
      <c r="AR13" s="193">
        <f t="shared" si="21"/>
        <v>0</v>
      </c>
      <c r="AS13" s="225">
        <f t="shared" si="13"/>
        <v>0</v>
      </c>
      <c r="AT13" s="193">
        <f t="shared" si="14"/>
        <v>0</v>
      </c>
      <c r="AV13" s="191">
        <v>41548</v>
      </c>
      <c r="AW13" s="200">
        <v>63.344000000000001</v>
      </c>
      <c r="AX13" s="200">
        <v>0</v>
      </c>
      <c r="AY13" s="191"/>
      <c r="AZ13" s="191"/>
      <c r="BA13" s="180">
        <v>14.5</v>
      </c>
      <c r="BB13" s="180">
        <v>60</v>
      </c>
      <c r="BC13" s="195">
        <v>11</v>
      </c>
      <c r="BD13" s="196" t="s">
        <v>455</v>
      </c>
      <c r="BE13" s="195">
        <v>11</v>
      </c>
      <c r="BG13" s="180">
        <v>1963</v>
      </c>
      <c r="BH13" s="199">
        <v>7960</v>
      </c>
      <c r="BI13" s="199">
        <v>8200</v>
      </c>
      <c r="BJ13" s="199">
        <v>8440</v>
      </c>
      <c r="BK13" s="199">
        <v>8680</v>
      </c>
      <c r="BL13" s="183" t="s">
        <v>562</v>
      </c>
      <c r="BM13" s="256">
        <v>10</v>
      </c>
      <c r="BN13" s="257" t="s">
        <v>115</v>
      </c>
    </row>
    <row r="14" spans="1:66" s="187" customFormat="1" ht="12.6" customHeight="1">
      <c r="A14" s="129"/>
      <c r="B14" s="378"/>
      <c r="C14" s="215" t="s">
        <v>47</v>
      </c>
      <c r="D14" s="355" t="s">
        <v>687</v>
      </c>
      <c r="E14" s="355"/>
      <c r="F14" s="355"/>
      <c r="G14" s="355"/>
      <c r="H14" s="355"/>
      <c r="I14" s="356"/>
      <c r="J14" s="134"/>
      <c r="K14" s="378"/>
      <c r="L14" s="215"/>
      <c r="M14" s="321"/>
      <c r="N14" s="130"/>
      <c r="O14" s="307"/>
      <c r="P14" s="335" t="s">
        <v>667</v>
      </c>
      <c r="Q14" s="308">
        <v>0</v>
      </c>
      <c r="R14" s="184"/>
      <c r="S14" s="185"/>
      <c r="T14" s="198">
        <f t="shared" ref="T14:T23" si="22">IF(V14&gt;0,T13+1,T13)</f>
        <v>1</v>
      </c>
      <c r="U14" s="183" t="s">
        <v>509</v>
      </c>
      <c r="V14" s="203">
        <f>MIN(Q26,20000)</f>
        <v>0</v>
      </c>
      <c r="Z14" s="183"/>
      <c r="AA14" s="190">
        <f t="shared" si="15"/>
        <v>41609</v>
      </c>
      <c r="AB14" s="224">
        <f t="shared" si="16"/>
        <v>12</v>
      </c>
      <c r="AC14" s="191">
        <f t="shared" si="1"/>
        <v>41609</v>
      </c>
      <c r="AD14" s="183">
        <f t="shared" si="2"/>
        <v>31</v>
      </c>
      <c r="AE14" s="183">
        <f t="shared" si="3"/>
        <v>31</v>
      </c>
      <c r="AF14" s="192">
        <f t="shared" si="11"/>
        <v>18030</v>
      </c>
      <c r="AG14" s="193">
        <f t="shared" si="4"/>
        <v>11421</v>
      </c>
      <c r="AH14" s="193">
        <f t="shared" si="5"/>
        <v>2164</v>
      </c>
      <c r="AI14" s="193">
        <f t="shared" si="6"/>
        <v>0</v>
      </c>
      <c r="AJ14" s="193">
        <f t="shared" si="7"/>
        <v>0</v>
      </c>
      <c r="AK14" s="193">
        <f t="shared" si="8"/>
        <v>0</v>
      </c>
      <c r="AL14" s="193">
        <f t="shared" si="17"/>
        <v>2000</v>
      </c>
      <c r="AM14" s="193">
        <f t="shared" si="18"/>
        <v>1000</v>
      </c>
      <c r="AN14" s="193">
        <f t="shared" si="19"/>
        <v>60</v>
      </c>
      <c r="AO14" s="193">
        <f t="shared" si="20"/>
        <v>0</v>
      </c>
      <c r="AP14" s="193">
        <f t="shared" si="12"/>
        <v>0</v>
      </c>
      <c r="AQ14" s="193">
        <f t="shared" si="9"/>
        <v>0</v>
      </c>
      <c r="AR14" s="193">
        <f t="shared" si="21"/>
        <v>0</v>
      </c>
      <c r="AS14" s="225">
        <f t="shared" si="13"/>
        <v>0</v>
      </c>
      <c r="AT14" s="193">
        <f t="shared" si="14"/>
        <v>0</v>
      </c>
      <c r="AV14" s="193"/>
      <c r="AW14" s="193"/>
      <c r="AX14" s="193"/>
      <c r="AY14" s="193"/>
      <c r="AZ14" s="180"/>
      <c r="BA14" s="180">
        <v>12</v>
      </c>
      <c r="BB14" s="180">
        <v>90</v>
      </c>
      <c r="BC14" s="195">
        <v>12</v>
      </c>
      <c r="BD14" s="196" t="s">
        <v>456</v>
      </c>
      <c r="BE14" s="195">
        <v>12</v>
      </c>
      <c r="BF14" s="180"/>
      <c r="BG14" s="180">
        <v>1964</v>
      </c>
      <c r="BH14" s="199">
        <v>8200</v>
      </c>
      <c r="BI14" s="199">
        <v>8440</v>
      </c>
      <c r="BJ14" s="199">
        <v>8680</v>
      </c>
      <c r="BK14" s="199">
        <v>8940</v>
      </c>
      <c r="BL14" s="183" t="s">
        <v>563</v>
      </c>
      <c r="BM14" s="256">
        <v>11</v>
      </c>
      <c r="BN14" s="257" t="s">
        <v>116</v>
      </c>
    </row>
    <row r="15" spans="1:66" ht="12.6" customHeight="1">
      <c r="A15" s="131"/>
      <c r="B15" s="378"/>
      <c r="C15" s="215" t="s">
        <v>98</v>
      </c>
      <c r="D15" s="353" t="s">
        <v>585</v>
      </c>
      <c r="E15" s="353"/>
      <c r="F15" s="353"/>
      <c r="G15" s="353"/>
      <c r="H15" s="353"/>
      <c r="I15" s="354"/>
      <c r="J15" s="134"/>
      <c r="K15" s="378"/>
      <c r="L15" s="215"/>
      <c r="M15" s="321"/>
      <c r="N15" s="130"/>
      <c r="O15" s="307"/>
      <c r="P15" s="211" t="s">
        <v>668</v>
      </c>
      <c r="Q15" s="308">
        <v>0</v>
      </c>
      <c r="R15" s="184"/>
      <c r="S15" s="185"/>
      <c r="T15" s="198">
        <f t="shared" si="22"/>
        <v>1</v>
      </c>
      <c r="U15" s="183" t="s">
        <v>499</v>
      </c>
      <c r="V15" s="203">
        <f>IF(Q27&gt;0,MIN(Q27,15000),MIN(Q28,20000))</f>
        <v>0</v>
      </c>
      <c r="AA15" s="190">
        <f t="shared" si="15"/>
        <v>41640</v>
      </c>
      <c r="AB15" s="224">
        <f t="shared" si="16"/>
        <v>13</v>
      </c>
      <c r="AC15" s="191">
        <f t="shared" si="1"/>
        <v>41640</v>
      </c>
      <c r="AD15" s="183">
        <f t="shared" si="2"/>
        <v>31</v>
      </c>
      <c r="AE15" s="183">
        <f t="shared" si="3"/>
        <v>31</v>
      </c>
      <c r="AF15" s="192">
        <f t="shared" si="11"/>
        <v>18030</v>
      </c>
      <c r="AG15" s="193">
        <f t="shared" si="4"/>
        <v>11421</v>
      </c>
      <c r="AH15" s="193">
        <f t="shared" si="5"/>
        <v>2164</v>
      </c>
      <c r="AI15" s="193">
        <f t="shared" si="6"/>
        <v>0</v>
      </c>
      <c r="AJ15" s="193">
        <f t="shared" si="7"/>
        <v>0</v>
      </c>
      <c r="AK15" s="193">
        <f t="shared" si="8"/>
        <v>0</v>
      </c>
      <c r="AL15" s="193">
        <f t="shared" si="17"/>
        <v>2000</v>
      </c>
      <c r="AM15" s="193">
        <f t="shared" si="18"/>
        <v>1000</v>
      </c>
      <c r="AN15" s="193">
        <f t="shared" si="19"/>
        <v>60</v>
      </c>
      <c r="AO15" s="193">
        <f t="shared" si="20"/>
        <v>2500</v>
      </c>
      <c r="AP15" s="193">
        <f t="shared" si="12"/>
        <v>0</v>
      </c>
      <c r="AQ15" s="193">
        <f t="shared" si="9"/>
        <v>0</v>
      </c>
      <c r="AR15" s="193">
        <f t="shared" si="21"/>
        <v>0</v>
      </c>
      <c r="AS15" s="225">
        <f t="shared" si="13"/>
        <v>0</v>
      </c>
      <c r="AT15" s="193">
        <f t="shared" si="14"/>
        <v>4868</v>
      </c>
      <c r="AV15" s="189" t="s">
        <v>717</v>
      </c>
      <c r="AW15" s="192">
        <f>'Form No.16'!M55</f>
        <v>266228</v>
      </c>
      <c r="AX15" s="180" t="s">
        <v>716</v>
      </c>
      <c r="AY15" s="192">
        <f>IF(AW15&gt;1000000,ROUND((AW15-1000000)*30%,0)+130000,IF(AW15&gt; 500000,ROUND((AW15-500000)*20%,0)+30000,IF(AW15&gt; BB26,ROUND((AW15-BB26)*10%,0),0)))</f>
        <v>6623</v>
      </c>
      <c r="BA15" s="180">
        <v>0</v>
      </c>
      <c r="BB15" s="180">
        <v>120</v>
      </c>
      <c r="BC15" s="195">
        <v>13</v>
      </c>
      <c r="BG15" s="180">
        <v>1965</v>
      </c>
      <c r="BH15" s="199">
        <v>8440</v>
      </c>
      <c r="BI15" s="199">
        <v>8680</v>
      </c>
      <c r="BJ15" s="199">
        <v>8940</v>
      </c>
      <c r="BK15" s="199">
        <v>9200</v>
      </c>
      <c r="BL15" s="183" t="s">
        <v>564</v>
      </c>
      <c r="BM15" s="256">
        <v>12</v>
      </c>
      <c r="BN15" s="257" t="s">
        <v>117</v>
      </c>
    </row>
    <row r="16" spans="1:66" ht="12.6" customHeight="1">
      <c r="A16" s="131"/>
      <c r="B16" s="378"/>
      <c r="C16" s="215" t="s">
        <v>443</v>
      </c>
      <c r="D16" s="353" t="s">
        <v>548</v>
      </c>
      <c r="E16" s="353"/>
      <c r="F16" s="353"/>
      <c r="G16" s="353"/>
      <c r="H16" s="353"/>
      <c r="I16" s="354"/>
      <c r="J16" s="130"/>
      <c r="K16" s="378"/>
      <c r="L16" s="215"/>
      <c r="M16" s="321"/>
      <c r="N16" s="130"/>
      <c r="O16" s="307"/>
      <c r="P16" s="211" t="s">
        <v>622</v>
      </c>
      <c r="Q16" s="308">
        <v>0</v>
      </c>
      <c r="R16" s="184"/>
      <c r="S16" s="185"/>
      <c r="T16" s="198">
        <f t="shared" si="22"/>
        <v>1</v>
      </c>
      <c r="U16" s="183" t="s">
        <v>500</v>
      </c>
      <c r="V16" s="203">
        <f>IF(Q29&gt;0,MIN(Q29,50000),MIN(Q30,100000))</f>
        <v>0</v>
      </c>
      <c r="AA16" s="190">
        <f t="shared" si="15"/>
        <v>41671</v>
      </c>
      <c r="AB16" s="224">
        <f t="shared" si="16"/>
        <v>14</v>
      </c>
      <c r="AC16" s="191">
        <f t="shared" si="1"/>
        <v>41671</v>
      </c>
      <c r="AD16" s="183">
        <f t="shared" si="2"/>
        <v>28</v>
      </c>
      <c r="AE16" s="183">
        <f t="shared" si="3"/>
        <v>28</v>
      </c>
      <c r="AF16" s="192">
        <f t="shared" si="11"/>
        <v>18030</v>
      </c>
      <c r="AG16" s="193">
        <f t="shared" si="4"/>
        <v>11421</v>
      </c>
      <c r="AH16" s="193">
        <f t="shared" si="5"/>
        <v>2164</v>
      </c>
      <c r="AI16" s="193">
        <f t="shared" si="6"/>
        <v>0</v>
      </c>
      <c r="AJ16" s="193">
        <f t="shared" si="7"/>
        <v>0</v>
      </c>
      <c r="AK16" s="193">
        <f t="shared" si="8"/>
        <v>0</v>
      </c>
      <c r="AL16" s="193">
        <f t="shared" si="17"/>
        <v>2000</v>
      </c>
      <c r="AM16" s="193">
        <f t="shared" si="18"/>
        <v>1000</v>
      </c>
      <c r="AN16" s="193">
        <f t="shared" si="19"/>
        <v>60</v>
      </c>
      <c r="AO16" s="193">
        <f t="shared" si="20"/>
        <v>2270</v>
      </c>
      <c r="AP16" s="193">
        <f t="shared" si="12"/>
        <v>0</v>
      </c>
      <c r="AQ16" s="193">
        <f t="shared" si="9"/>
        <v>0</v>
      </c>
      <c r="AR16" s="193">
        <f t="shared" si="21"/>
        <v>0</v>
      </c>
      <c r="AS16" s="225">
        <f t="shared" si="13"/>
        <v>0</v>
      </c>
      <c r="AT16" s="193">
        <f t="shared" si="14"/>
        <v>4868</v>
      </c>
      <c r="BC16" s="195">
        <v>14</v>
      </c>
      <c r="BD16" s="238">
        <f>EDATE(Y2,2)</f>
        <v>41334</v>
      </c>
      <c r="BG16" s="180">
        <v>1966</v>
      </c>
      <c r="BH16" s="199">
        <v>8680</v>
      </c>
      <c r="BI16" s="199">
        <v>8940</v>
      </c>
      <c r="BJ16" s="199">
        <v>9200</v>
      </c>
      <c r="BK16" s="199">
        <v>9460</v>
      </c>
      <c r="BL16" s="183" t="s">
        <v>565</v>
      </c>
      <c r="BM16" s="256">
        <v>13</v>
      </c>
      <c r="BN16" s="257" t="s">
        <v>118</v>
      </c>
    </row>
    <row r="17" spans="1:66" ht="12.6" customHeight="1">
      <c r="A17" s="131"/>
      <c r="B17" s="378"/>
      <c r="C17" s="215" t="s">
        <v>227</v>
      </c>
      <c r="D17" s="355" t="s">
        <v>549</v>
      </c>
      <c r="E17" s="355"/>
      <c r="F17" s="355"/>
      <c r="G17" s="355"/>
      <c r="H17" s="355"/>
      <c r="I17" s="356"/>
      <c r="J17" s="130"/>
      <c r="K17" s="378"/>
      <c r="L17" s="215"/>
      <c r="M17" s="321"/>
      <c r="N17" s="130"/>
      <c r="O17" s="307"/>
      <c r="P17" s="211" t="s">
        <v>510</v>
      </c>
      <c r="Q17" s="308">
        <v>0</v>
      </c>
      <c r="R17" s="184"/>
      <c r="S17" s="185"/>
      <c r="T17" s="198">
        <f t="shared" si="22"/>
        <v>1</v>
      </c>
      <c r="U17" s="183" t="s">
        <v>501</v>
      </c>
      <c r="V17" s="203">
        <f>IF(Q31&gt;0,MIN(Q31,40000),MIN(Q32,60000))</f>
        <v>0</v>
      </c>
      <c r="AA17" s="190">
        <f t="shared" si="15"/>
        <v>41699</v>
      </c>
      <c r="AB17" s="224">
        <f t="shared" si="16"/>
        <v>15</v>
      </c>
      <c r="AC17" s="191">
        <f t="shared" si="1"/>
        <v>41699</v>
      </c>
      <c r="AD17" s="183" t="str">
        <f t="shared" si="2"/>
        <v/>
      </c>
      <c r="AE17" s="183" t="str">
        <f t="shared" si="3"/>
        <v/>
      </c>
      <c r="AF17" s="192" t="str">
        <f t="shared" si="11"/>
        <v/>
      </c>
      <c r="AG17" s="193" t="str">
        <f t="shared" si="4"/>
        <v/>
      </c>
      <c r="AH17" s="193">
        <f t="shared" si="5"/>
        <v>0</v>
      </c>
      <c r="AI17" s="193">
        <f t="shared" si="6"/>
        <v>0</v>
      </c>
      <c r="AJ17" s="193">
        <f t="shared" si="7"/>
        <v>0</v>
      </c>
      <c r="AK17" s="193">
        <f t="shared" si="8"/>
        <v>0</v>
      </c>
      <c r="AL17" s="193">
        <f t="shared" si="17"/>
        <v>2000</v>
      </c>
      <c r="AM17" s="193">
        <f t="shared" si="18"/>
        <v>1000</v>
      </c>
      <c r="AN17" s="193">
        <f t="shared" si="19"/>
        <v>60</v>
      </c>
      <c r="AO17" s="193">
        <f t="shared" si="20"/>
        <v>2270</v>
      </c>
      <c r="AP17" s="193">
        <f t="shared" si="12"/>
        <v>0</v>
      </c>
      <c r="AQ17" s="193">
        <f t="shared" si="9"/>
        <v>0</v>
      </c>
      <c r="AR17" s="193">
        <f t="shared" si="21"/>
        <v>0</v>
      </c>
      <c r="AS17" s="225">
        <f t="shared" si="13"/>
        <v>0</v>
      </c>
      <c r="AT17" s="193">
        <f t="shared" si="14"/>
        <v>0</v>
      </c>
      <c r="AV17" s="189" t="s">
        <v>543</v>
      </c>
      <c r="AW17" s="189"/>
      <c r="AX17" s="189"/>
      <c r="BA17" s="182" t="s">
        <v>201</v>
      </c>
      <c r="BC17" s="195">
        <v>15</v>
      </c>
      <c r="BD17" s="238">
        <f>EDATE(BD16,1)</f>
        <v>41365</v>
      </c>
      <c r="BG17" s="180">
        <v>1967</v>
      </c>
      <c r="BH17" s="199">
        <v>8940</v>
      </c>
      <c r="BI17" s="199">
        <v>9200</v>
      </c>
      <c r="BJ17" s="199">
        <v>9460</v>
      </c>
      <c r="BK17" s="199">
        <v>9740</v>
      </c>
      <c r="BL17" s="183" t="s">
        <v>566</v>
      </c>
      <c r="BM17" s="256">
        <v>14</v>
      </c>
      <c r="BN17" s="257" t="s">
        <v>119</v>
      </c>
    </row>
    <row r="18" spans="1:66" ht="12.6" customHeight="1">
      <c r="A18" s="131"/>
      <c r="B18" s="378"/>
      <c r="C18" s="215"/>
      <c r="D18" s="355" t="s">
        <v>718</v>
      </c>
      <c r="E18" s="355"/>
      <c r="F18" s="355"/>
      <c r="G18" s="355"/>
      <c r="H18" s="355"/>
      <c r="I18" s="356"/>
      <c r="J18" s="130"/>
      <c r="K18" s="378"/>
      <c r="L18" s="215"/>
      <c r="M18" s="321"/>
      <c r="N18" s="130"/>
      <c r="O18" s="307"/>
      <c r="P18" s="211" t="s">
        <v>475</v>
      </c>
      <c r="Q18" s="308">
        <v>0</v>
      </c>
      <c r="R18" s="184"/>
      <c r="S18" s="185"/>
      <c r="T18" s="198">
        <f t="shared" si="22"/>
        <v>1</v>
      </c>
      <c r="U18" s="183" t="s">
        <v>502</v>
      </c>
      <c r="V18" s="203">
        <f>MIN(Q33,100000)</f>
        <v>0</v>
      </c>
      <c r="Z18" s="186" t="s">
        <v>659</v>
      </c>
      <c r="AA18" s="191" t="str">
        <f>IF(D23="No","",DATE(I23,H23,G23))</f>
        <v/>
      </c>
      <c r="AB18" s="224">
        <f t="shared" si="16"/>
        <v>16</v>
      </c>
      <c r="AC18" s="191" t="str">
        <f t="shared" si="1"/>
        <v/>
      </c>
      <c r="AD18" s="183" t="str">
        <f t="shared" si="2"/>
        <v/>
      </c>
      <c r="AE18" s="183" t="str">
        <f t="shared" si="3"/>
        <v/>
      </c>
      <c r="AF18" s="192" t="str">
        <f t="shared" si="11"/>
        <v/>
      </c>
      <c r="AG18" s="193" t="str">
        <f t="shared" si="4"/>
        <v/>
      </c>
      <c r="AH18" s="193">
        <f t="shared" si="5"/>
        <v>0</v>
      </c>
      <c r="AI18" s="193">
        <f t="shared" si="6"/>
        <v>0</v>
      </c>
      <c r="AJ18" s="193">
        <f t="shared" si="7"/>
        <v>0</v>
      </c>
      <c r="AK18" s="193">
        <f t="shared" si="8"/>
        <v>0</v>
      </c>
      <c r="AL18" s="193">
        <f t="shared" si="17"/>
        <v>2000</v>
      </c>
      <c r="AM18" s="193">
        <f t="shared" si="18"/>
        <v>1000</v>
      </c>
      <c r="AN18" s="193">
        <f t="shared" si="19"/>
        <v>60</v>
      </c>
      <c r="AO18" s="193">
        <f t="shared" si="20"/>
        <v>2270</v>
      </c>
      <c r="AP18" s="193">
        <f t="shared" si="12"/>
        <v>0</v>
      </c>
      <c r="AQ18" s="193">
        <f t="shared" si="9"/>
        <v>0</v>
      </c>
      <c r="AR18" s="193">
        <f t="shared" si="21"/>
        <v>0</v>
      </c>
      <c r="AS18" s="225">
        <f t="shared" si="13"/>
        <v>0</v>
      </c>
      <c r="AT18" s="193">
        <f t="shared" si="14"/>
        <v>0</v>
      </c>
      <c r="AV18" s="191">
        <f>AA3</f>
        <v>41275</v>
      </c>
      <c r="AW18" s="201">
        <f>G29</f>
        <v>12</v>
      </c>
      <c r="AX18" s="202">
        <f>IF(I29="Yes",1,0)</f>
        <v>0</v>
      </c>
      <c r="AY18" s="192"/>
      <c r="BA18" s="180" t="s">
        <v>202</v>
      </c>
      <c r="BB18" s="180">
        <v>12</v>
      </c>
      <c r="BC18" s="195">
        <v>16</v>
      </c>
      <c r="BD18" s="238">
        <f t="shared" ref="BD18:BD27" si="23">EDATE(BD17,1)</f>
        <v>41395</v>
      </c>
      <c r="BG18" s="180">
        <v>1968</v>
      </c>
      <c r="BH18" s="199">
        <v>9200</v>
      </c>
      <c r="BI18" s="199">
        <v>9460</v>
      </c>
      <c r="BJ18" s="199">
        <v>9740</v>
      </c>
      <c r="BK18" s="199">
        <v>10020</v>
      </c>
      <c r="BL18" s="183" t="s">
        <v>567</v>
      </c>
      <c r="BM18" s="256">
        <v>15</v>
      </c>
      <c r="BN18" s="257" t="s">
        <v>120</v>
      </c>
    </row>
    <row r="19" spans="1:66" ht="12.6" customHeight="1">
      <c r="A19" s="131"/>
      <c r="B19" s="378"/>
      <c r="C19" s="215"/>
      <c r="D19" s="357" t="s">
        <v>551</v>
      </c>
      <c r="E19" s="357"/>
      <c r="F19" s="357"/>
      <c r="G19" s="357"/>
      <c r="H19" s="357"/>
      <c r="I19" s="358"/>
      <c r="J19" s="130"/>
      <c r="K19" s="378"/>
      <c r="L19" s="215"/>
      <c r="M19" s="321"/>
      <c r="N19" s="130"/>
      <c r="O19" s="307"/>
      <c r="P19" s="211" t="s">
        <v>476</v>
      </c>
      <c r="Q19" s="308">
        <v>0</v>
      </c>
      <c r="R19" s="184"/>
      <c r="S19" s="185"/>
      <c r="T19" s="198">
        <f t="shared" si="22"/>
        <v>2</v>
      </c>
      <c r="U19" s="183" t="s">
        <v>503</v>
      </c>
      <c r="V19" s="203">
        <f>Q35</f>
        <v>40</v>
      </c>
      <c r="Z19" s="186" t="s">
        <v>660</v>
      </c>
      <c r="AA19" s="191" t="str">
        <f>IF(AA18="","",  IF(G24="Promotion",AA18,DATE(IF(H23&lt;VLOOKUP(G22,BD3:BE14,2,FALSE),I23,I23+1),VLOOKUP(G22,BD3:BE14,2,FALSE),1)))</f>
        <v/>
      </c>
      <c r="AB19" s="224">
        <f t="shared" si="16"/>
        <v>17</v>
      </c>
      <c r="AC19" s="191" t="str">
        <f t="shared" si="1"/>
        <v/>
      </c>
      <c r="AD19" s="183" t="str">
        <f t="shared" si="2"/>
        <v/>
      </c>
      <c r="AE19" s="183" t="str">
        <f t="shared" si="3"/>
        <v/>
      </c>
      <c r="AF19" s="192" t="str">
        <f t="shared" si="11"/>
        <v/>
      </c>
      <c r="AG19" s="193" t="str">
        <f t="shared" si="4"/>
        <v/>
      </c>
      <c r="AH19" s="193">
        <f t="shared" si="5"/>
        <v>0</v>
      </c>
      <c r="AI19" s="193">
        <f t="shared" si="6"/>
        <v>0</v>
      </c>
      <c r="AJ19" s="193">
        <f t="shared" si="7"/>
        <v>0</v>
      </c>
      <c r="AK19" s="193">
        <f t="shared" si="8"/>
        <v>0</v>
      </c>
      <c r="AL19" s="193">
        <f t="shared" si="17"/>
        <v>2000</v>
      </c>
      <c r="AM19" s="193">
        <f t="shared" si="18"/>
        <v>1000</v>
      </c>
      <c r="AN19" s="193">
        <f t="shared" si="19"/>
        <v>60</v>
      </c>
      <c r="AO19" s="193">
        <f t="shared" si="20"/>
        <v>2270</v>
      </c>
      <c r="AP19" s="193">
        <f t="shared" si="12"/>
        <v>0</v>
      </c>
      <c r="AQ19" s="193">
        <f t="shared" si="9"/>
        <v>0</v>
      </c>
      <c r="AR19" s="193">
        <f t="shared" si="21"/>
        <v>0</v>
      </c>
      <c r="AS19" s="225">
        <f t="shared" si="13"/>
        <v>0</v>
      </c>
      <c r="AT19" s="193">
        <f t="shared" si="14"/>
        <v>0</v>
      </c>
      <c r="AV19" s="191" t="str">
        <f>IF(DATE(F29,E29,D29+1)&gt;Upto,"",DATE(F29,E29,D29+1))</f>
        <v/>
      </c>
      <c r="AW19" s="201">
        <f>G30</f>
        <v>12</v>
      </c>
      <c r="AX19" s="202">
        <f>IF(I30="Yes",1,0)</f>
        <v>0</v>
      </c>
      <c r="AY19" s="192"/>
      <c r="BA19" s="180" t="s">
        <v>203</v>
      </c>
      <c r="BB19" s="180">
        <v>4</v>
      </c>
      <c r="BC19" s="195">
        <v>17</v>
      </c>
      <c r="BD19" s="238">
        <f t="shared" si="23"/>
        <v>41426</v>
      </c>
      <c r="BG19" s="180">
        <v>1969</v>
      </c>
      <c r="BH19" s="199">
        <v>9460</v>
      </c>
      <c r="BI19" s="199">
        <v>9740</v>
      </c>
      <c r="BJ19" s="199">
        <v>10020</v>
      </c>
      <c r="BK19" s="199">
        <v>10300</v>
      </c>
      <c r="BL19" s="183" t="s">
        <v>568</v>
      </c>
      <c r="BM19" s="256">
        <v>16</v>
      </c>
      <c r="BN19" s="257" t="s">
        <v>121</v>
      </c>
    </row>
    <row r="20" spans="1:66" ht="12.6" customHeight="1">
      <c r="A20" s="131"/>
      <c r="B20" s="379"/>
      <c r="C20" s="235"/>
      <c r="D20" s="368"/>
      <c r="E20" s="368"/>
      <c r="F20" s="368"/>
      <c r="G20" s="368"/>
      <c r="H20" s="368"/>
      <c r="I20" s="369"/>
      <c r="J20" s="130"/>
      <c r="K20" s="379"/>
      <c r="L20" s="235"/>
      <c r="M20" s="322"/>
      <c r="N20" s="130"/>
      <c r="O20" s="307"/>
      <c r="P20" s="211" t="s">
        <v>477</v>
      </c>
      <c r="Q20" s="308">
        <v>20000</v>
      </c>
      <c r="R20" s="184"/>
      <c r="S20" s="185"/>
      <c r="T20" s="198">
        <f t="shared" si="22"/>
        <v>2</v>
      </c>
      <c r="U20" s="183" t="s">
        <v>504</v>
      </c>
      <c r="V20" s="203">
        <f>MIN(Q36,24000)</f>
        <v>0</v>
      </c>
      <c r="Z20" s="186" t="s">
        <v>661</v>
      </c>
      <c r="AA20" s="191">
        <f>IF(D23="No",IF(G22="","",DATE(2013,VLOOKUP(G22,BD3:BE14,2,FALSE),1)),IF(G24="Promotion",EOMONTH(DoP,11)+1,EDATE(AA19,12)))</f>
        <v>41548</v>
      </c>
      <c r="AB20" s="224">
        <v>18</v>
      </c>
      <c r="AC20" s="191" t="str">
        <f t="shared" si="1"/>
        <v/>
      </c>
      <c r="AD20" s="183" t="str">
        <f t="shared" si="2"/>
        <v/>
      </c>
      <c r="AE20" s="183" t="str">
        <f t="shared" si="3"/>
        <v/>
      </c>
      <c r="AF20" s="192" t="str">
        <f t="shared" si="11"/>
        <v/>
      </c>
      <c r="AG20" s="193" t="str">
        <f t="shared" si="4"/>
        <v/>
      </c>
      <c r="AH20" s="193">
        <f t="shared" si="5"/>
        <v>0</v>
      </c>
      <c r="AI20" s="193">
        <f t="shared" si="6"/>
        <v>0</v>
      </c>
      <c r="AJ20" s="193">
        <f t="shared" si="7"/>
        <v>0</v>
      </c>
      <c r="AK20" s="193">
        <f t="shared" si="8"/>
        <v>0</v>
      </c>
      <c r="AL20" s="193">
        <f t="shared" si="17"/>
        <v>2000</v>
      </c>
      <c r="AM20" s="193">
        <f t="shared" si="18"/>
        <v>1000</v>
      </c>
      <c r="AN20" s="193">
        <f t="shared" si="19"/>
        <v>60</v>
      </c>
      <c r="AO20" s="193">
        <f t="shared" si="20"/>
        <v>2270</v>
      </c>
      <c r="AP20" s="193">
        <f t="shared" si="12"/>
        <v>0</v>
      </c>
      <c r="AQ20" s="193">
        <f t="shared" si="9"/>
        <v>0</v>
      </c>
      <c r="AR20" s="193">
        <f t="shared" si="21"/>
        <v>0</v>
      </c>
      <c r="AS20" s="225">
        <f t="shared" si="13"/>
        <v>0</v>
      </c>
      <c r="AT20" s="193">
        <f t="shared" si="14"/>
        <v>0</v>
      </c>
      <c r="AV20" s="191"/>
      <c r="AW20" s="191"/>
      <c r="AX20" s="191"/>
      <c r="AY20" s="191"/>
      <c r="BA20" s="180" t="s">
        <v>230</v>
      </c>
      <c r="BB20" s="180">
        <v>2</v>
      </c>
      <c r="BC20" s="195">
        <v>18</v>
      </c>
      <c r="BD20" s="238">
        <f t="shared" si="23"/>
        <v>41456</v>
      </c>
      <c r="BG20" s="180">
        <v>1970</v>
      </c>
      <c r="BH20" s="199">
        <v>9740</v>
      </c>
      <c r="BI20" s="199">
        <v>10020</v>
      </c>
      <c r="BJ20" s="199">
        <v>10300</v>
      </c>
      <c r="BK20" s="199">
        <v>10600</v>
      </c>
      <c r="BL20" s="183" t="s">
        <v>569</v>
      </c>
      <c r="BM20" s="256">
        <v>17</v>
      </c>
      <c r="BN20" s="257" t="s">
        <v>122</v>
      </c>
    </row>
    <row r="21" spans="1:66" ht="12.6" customHeight="1">
      <c r="A21" s="131"/>
      <c r="B21" s="130"/>
      <c r="C21" s="133"/>
      <c r="D21" s="130"/>
      <c r="E21" s="130"/>
      <c r="F21" s="130"/>
      <c r="G21" s="130"/>
      <c r="H21" s="130"/>
      <c r="I21" s="130"/>
      <c r="J21" s="130"/>
      <c r="K21" s="136"/>
      <c r="L21" s="133"/>
      <c r="M21" s="128"/>
      <c r="N21" s="130"/>
      <c r="O21" s="307"/>
      <c r="P21" s="211" t="s">
        <v>478</v>
      </c>
      <c r="Q21" s="308">
        <v>0</v>
      </c>
      <c r="R21" s="184"/>
      <c r="S21" s="185"/>
      <c r="T21" s="198">
        <f t="shared" si="22"/>
        <v>2</v>
      </c>
      <c r="U21" s="183" t="s">
        <v>505</v>
      </c>
      <c r="V21" s="203">
        <f>Q37</f>
        <v>0</v>
      </c>
      <c r="Z21" s="186" t="s">
        <v>662</v>
      </c>
      <c r="AA21" s="191" t="str">
        <f>IF(D25="No","",DATE(I25,H25,G25))</f>
        <v/>
      </c>
      <c r="AB21" s="226">
        <v>19</v>
      </c>
      <c r="AC21" s="227" t="str">
        <f t="shared" si="1"/>
        <v/>
      </c>
      <c r="AD21" s="228" t="str">
        <f t="shared" si="2"/>
        <v/>
      </c>
      <c r="AE21" s="228" t="str">
        <f t="shared" si="3"/>
        <v/>
      </c>
      <c r="AF21" s="229" t="str">
        <f t="shared" si="11"/>
        <v/>
      </c>
      <c r="AG21" s="230" t="str">
        <f t="shared" si="4"/>
        <v/>
      </c>
      <c r="AH21" s="230">
        <f t="shared" si="5"/>
        <v>0</v>
      </c>
      <c r="AI21" s="230">
        <f t="shared" si="6"/>
        <v>0</v>
      </c>
      <c r="AJ21" s="230">
        <f t="shared" si="7"/>
        <v>0</v>
      </c>
      <c r="AK21" s="230">
        <f t="shared" si="8"/>
        <v>0</v>
      </c>
      <c r="AL21" s="230">
        <f t="shared" si="17"/>
        <v>2000</v>
      </c>
      <c r="AM21" s="230">
        <f t="shared" si="18"/>
        <v>1000</v>
      </c>
      <c r="AN21" s="230">
        <f t="shared" si="19"/>
        <v>60</v>
      </c>
      <c r="AO21" s="230">
        <f t="shared" si="20"/>
        <v>2270</v>
      </c>
      <c r="AP21" s="230">
        <f t="shared" si="12"/>
        <v>0</v>
      </c>
      <c r="AQ21" s="230">
        <f t="shared" si="9"/>
        <v>0</v>
      </c>
      <c r="AR21" s="230">
        <f t="shared" si="21"/>
        <v>0</v>
      </c>
      <c r="AS21" s="231">
        <f t="shared" si="13"/>
        <v>0</v>
      </c>
      <c r="AT21" s="193">
        <f t="shared" si="14"/>
        <v>0</v>
      </c>
      <c r="AW21" s="191"/>
      <c r="AX21" s="202"/>
      <c r="AY21" s="191"/>
      <c r="BA21" s="180" t="s">
        <v>204</v>
      </c>
      <c r="BB21" s="180">
        <v>1</v>
      </c>
      <c r="BC21" s="195">
        <v>19</v>
      </c>
      <c r="BD21" s="238">
        <f t="shared" si="23"/>
        <v>41487</v>
      </c>
      <c r="BG21" s="180">
        <v>1971</v>
      </c>
      <c r="BH21" s="199">
        <v>10020</v>
      </c>
      <c r="BI21" s="199">
        <v>10300</v>
      </c>
      <c r="BJ21" s="199">
        <v>10600</v>
      </c>
      <c r="BK21" s="199">
        <v>10900</v>
      </c>
      <c r="BL21" s="183" t="s">
        <v>570</v>
      </c>
      <c r="BM21" s="256">
        <v>18</v>
      </c>
      <c r="BN21" s="257" t="s">
        <v>123</v>
      </c>
    </row>
    <row r="22" spans="1:66" ht="12.6" customHeight="1">
      <c r="A22" s="131"/>
      <c r="B22" s="377" t="s">
        <v>484</v>
      </c>
      <c r="C22" s="301" t="s">
        <v>724</v>
      </c>
      <c r="D22" s="373">
        <v>17540</v>
      </c>
      <c r="E22" s="373"/>
      <c r="F22" s="312">
        <v>0</v>
      </c>
      <c r="G22" s="371" t="s">
        <v>454</v>
      </c>
      <c r="H22" s="371"/>
      <c r="I22" s="372"/>
      <c r="J22" s="130"/>
      <c r="K22" s="377" t="s">
        <v>471</v>
      </c>
      <c r="L22" s="301" t="s">
        <v>435</v>
      </c>
      <c r="M22" s="303">
        <v>0</v>
      </c>
      <c r="N22" s="130"/>
      <c r="O22" s="307"/>
      <c r="P22" s="211" t="s">
        <v>669</v>
      </c>
      <c r="Q22" s="308">
        <v>0</v>
      </c>
      <c r="R22" s="184"/>
      <c r="S22" s="185"/>
      <c r="T22" s="198">
        <f t="shared" si="22"/>
        <v>2</v>
      </c>
      <c r="U22" s="183" t="s">
        <v>506</v>
      </c>
      <c r="V22" s="203">
        <f>Q38</f>
        <v>0</v>
      </c>
      <c r="Z22" s="183" t="s">
        <v>676</v>
      </c>
      <c r="AA22" s="191" t="str">
        <f>IF(DATE(F29,E29,D29+1)&gt;Upto,"",DATE(F29,E29,D29+1))</f>
        <v/>
      </c>
      <c r="AC22" s="191"/>
      <c r="AD22" s="183"/>
      <c r="AE22" s="183"/>
      <c r="AK22" s="182"/>
      <c r="AP22" s="180">
        <f>SUM(AP3:AP19)</f>
        <v>4804</v>
      </c>
      <c r="AQ22" s="180">
        <f>SUM(AQ3:AQ19)</f>
        <v>4506</v>
      </c>
      <c r="AR22" s="180">
        <f t="shared" ref="AR22:AS22" si="24">SUM(AR3:AR19)</f>
        <v>480</v>
      </c>
      <c r="AS22" s="180">
        <f t="shared" si="24"/>
        <v>450</v>
      </c>
      <c r="AV22" s="204" t="s">
        <v>598</v>
      </c>
      <c r="AW22" s="205" t="s">
        <v>599</v>
      </c>
      <c r="AX22" s="205" t="s">
        <v>600</v>
      </c>
      <c r="AY22" s="205" t="s">
        <v>601</v>
      </c>
      <c r="BC22" s="195">
        <v>20</v>
      </c>
      <c r="BD22" s="238">
        <f t="shared" si="23"/>
        <v>41518</v>
      </c>
      <c r="BG22" s="180">
        <v>1972</v>
      </c>
      <c r="BH22" s="199">
        <v>10300</v>
      </c>
      <c r="BI22" s="199">
        <v>10600</v>
      </c>
      <c r="BJ22" s="199">
        <v>10900</v>
      </c>
      <c r="BK22" s="199">
        <v>11200</v>
      </c>
      <c r="BL22" s="183" t="s">
        <v>571</v>
      </c>
      <c r="BM22" s="256">
        <v>19</v>
      </c>
      <c r="BN22" s="257" t="s">
        <v>712</v>
      </c>
    </row>
    <row r="23" spans="1:66" ht="12.6" customHeight="1">
      <c r="A23" s="131"/>
      <c r="B23" s="378"/>
      <c r="C23" s="215" t="s">
        <v>589</v>
      </c>
      <c r="D23" s="370" t="s">
        <v>101</v>
      </c>
      <c r="E23" s="370"/>
      <c r="F23" s="214" t="s">
        <v>40</v>
      </c>
      <c r="G23" s="210">
        <v>24</v>
      </c>
      <c r="H23" s="210">
        <v>12</v>
      </c>
      <c r="I23" s="313">
        <v>2012</v>
      </c>
      <c r="J23" s="130"/>
      <c r="K23" s="378"/>
      <c r="L23" s="215" t="s">
        <v>713</v>
      </c>
      <c r="M23" s="321">
        <v>0</v>
      </c>
      <c r="N23" s="130"/>
      <c r="O23" s="307"/>
      <c r="P23" s="212" t="s">
        <v>623</v>
      </c>
      <c r="Q23" s="308">
        <v>0</v>
      </c>
      <c r="R23" s="184"/>
      <c r="S23" s="185"/>
      <c r="T23" s="198">
        <f t="shared" si="22"/>
        <v>2</v>
      </c>
      <c r="U23" s="183" t="s">
        <v>507</v>
      </c>
      <c r="V23" s="203">
        <f>IF(Q39&gt;0,MIN(Q39,40000),MIN(Q40,60000))</f>
        <v>0</v>
      </c>
      <c r="AA23" s="186" t="s">
        <v>591</v>
      </c>
      <c r="AC23" s="191" t="str">
        <f>DoAAS</f>
        <v/>
      </c>
      <c r="AD23" s="180" t="str">
        <f>IF(AC23="","",VLOOKUP(AC23,Details,2))</f>
        <v/>
      </c>
      <c r="AE23" s="180" t="str">
        <f>IF(AC23="","",VLOOKUP(AC23,Details,3))</f>
        <v/>
      </c>
      <c r="AF23" s="180">
        <f>IF(AC23="",0,ROUND((VLOOKUP(AC23,Details,4)-VLOOKUP(AC23-1,Details,4))*AD23/AE23,0))</f>
        <v>0</v>
      </c>
      <c r="AG23" s="180">
        <f>IF(AC23="",0,ROUND((VLOOKUP(AC23,Details,5)-VLOOKUP(AC23-1,Details,5))*AD23/AE23,0))</f>
        <v>0</v>
      </c>
      <c r="AH23" s="180">
        <f>IF(AC23="",0,ROUND(AF23*VLOOKUP(AC23,AV$18:AW$20,2)%,0))</f>
        <v>0</v>
      </c>
      <c r="AI23" s="180">
        <f>IF(AC23="",0,ROUND((VLOOKUP(AC23,Details,7)-VLOOKUP(AC23-1,Details,7))*AD23/AE23,0))</f>
        <v>0</v>
      </c>
      <c r="AJ23" s="180">
        <f>IF(AC23="",0,ROUND((VLOOKUP(AC23,Details,8)-VLOOKUP(AC23-1,Details,8))*AD23/AE23,0))</f>
        <v>0</v>
      </c>
      <c r="AK23" s="180">
        <f>IF(AC23="",0,ROUND((VLOOKUP(AC23,Details,9)-VLOOKUP(AC23-1,Details,9))*AD23/AE23,0))</f>
        <v>0</v>
      </c>
      <c r="AV23" s="206">
        <v>0</v>
      </c>
      <c r="AW23" s="206">
        <v>325</v>
      </c>
      <c r="AX23" s="206">
        <v>400</v>
      </c>
      <c r="AY23" s="206">
        <v>475</v>
      </c>
      <c r="BA23" s="180" t="s">
        <v>103</v>
      </c>
      <c r="BB23" s="192">
        <v>200000</v>
      </c>
      <c r="BC23" s="195">
        <v>21</v>
      </c>
      <c r="BD23" s="238">
        <f t="shared" si="23"/>
        <v>41548</v>
      </c>
      <c r="BG23" s="180">
        <v>1973</v>
      </c>
      <c r="BH23" s="199">
        <v>10600</v>
      </c>
      <c r="BI23" s="199">
        <v>10900</v>
      </c>
      <c r="BJ23" s="199">
        <v>11200</v>
      </c>
      <c r="BK23" s="199">
        <v>11530</v>
      </c>
      <c r="BL23" s="183" t="s">
        <v>572</v>
      </c>
      <c r="BM23" s="256">
        <v>20</v>
      </c>
      <c r="BN23" s="257" t="s">
        <v>124</v>
      </c>
    </row>
    <row r="24" spans="1:66" ht="12.6" customHeight="1">
      <c r="A24" s="131"/>
      <c r="B24" s="378"/>
      <c r="C24" s="215" t="s">
        <v>617</v>
      </c>
      <c r="D24" s="367" t="s">
        <v>571</v>
      </c>
      <c r="E24" s="367"/>
      <c r="F24" s="367"/>
      <c r="G24" s="367" t="s">
        <v>226</v>
      </c>
      <c r="H24" s="367"/>
      <c r="I24" s="385"/>
      <c r="J24" s="130"/>
      <c r="K24" s="378"/>
      <c r="L24" s="215" t="str">
        <f>'Annexure-1'!G62</f>
        <v>December, 2013</v>
      </c>
      <c r="M24" s="304">
        <v>0</v>
      </c>
      <c r="N24" s="130"/>
      <c r="O24" s="307" t="s">
        <v>497</v>
      </c>
      <c r="P24" s="211" t="s">
        <v>494</v>
      </c>
      <c r="Q24" s="308">
        <v>0</v>
      </c>
      <c r="R24" s="184"/>
      <c r="S24" s="185"/>
      <c r="T24" s="185"/>
      <c r="U24" s="185"/>
      <c r="V24" s="185"/>
      <c r="Y24" s="197"/>
      <c r="AA24" s="186" t="s">
        <v>590</v>
      </c>
      <c r="AC24" s="191" t="str">
        <f>DoP</f>
        <v/>
      </c>
      <c r="AD24" s="180" t="str">
        <f>IF(AC24="","",VLOOKUP(AC24,Details,2))</f>
        <v/>
      </c>
      <c r="AE24" s="180" t="str">
        <f>IF(AC24="","",VLOOKUP(AC24,Details,3))</f>
        <v/>
      </c>
      <c r="AF24" s="180">
        <f>IF(AC24="",0,ROUND((VLOOKUP(AC24,Details,4)-VLOOKUP(AC24-1,Details,4))*AD24/AE24,0))</f>
        <v>0</v>
      </c>
      <c r="AG24" s="180">
        <f>IF(AC24="",0,ROUND((VLOOKUP(AC24,Details,5)-VLOOKUP(AC24-1,Details,5))*AD24/AE24,0))</f>
        <v>0</v>
      </c>
      <c r="AH24" s="180">
        <f>IF(AC24="",0,ROUND(AF24*VLOOKUP(AC24,AV$18:AW$20,2)%,0))</f>
        <v>0</v>
      </c>
      <c r="AI24" s="180">
        <f>IF(AC24="",0,ROUND((VLOOKUP(AC24,Details,7)-VLOOKUP(AC24-1,Details,7))*AD24/AE24,0))</f>
        <v>0</v>
      </c>
      <c r="AJ24" s="180">
        <f>IF(AC24="",0,ROUND((VLOOKUP(AC24,Details,8)-VLOOKUP(AC24-1,Details,8))*AD24/AE24,0))</f>
        <v>0</v>
      </c>
      <c r="AK24" s="180">
        <f>IF(AC24="",0,ROUND((VLOOKUP(AC24,Details,9)-VLOOKUP(AC24-1,Details,9))*AD24/AE24,0))</f>
        <v>0</v>
      </c>
      <c r="AV24" s="206">
        <v>10601</v>
      </c>
      <c r="AW24" s="206">
        <v>400</v>
      </c>
      <c r="AX24" s="206">
        <v>475</v>
      </c>
      <c r="AY24" s="206">
        <v>550</v>
      </c>
      <c r="BA24" s="180" t="s">
        <v>104</v>
      </c>
      <c r="BB24" s="192">
        <f>BB23</f>
        <v>200000</v>
      </c>
      <c r="BC24" s="195">
        <v>22</v>
      </c>
      <c r="BD24" s="238">
        <f t="shared" si="23"/>
        <v>41579</v>
      </c>
      <c r="BG24" s="180">
        <v>1974</v>
      </c>
      <c r="BH24" s="199">
        <v>10900</v>
      </c>
      <c r="BI24" s="199">
        <v>11200</v>
      </c>
      <c r="BJ24" s="199">
        <v>11530</v>
      </c>
      <c r="BK24" s="199">
        <v>11860</v>
      </c>
      <c r="BL24" s="183" t="s">
        <v>573</v>
      </c>
      <c r="BM24" s="256">
        <v>21</v>
      </c>
      <c r="BN24" s="257" t="s">
        <v>125</v>
      </c>
    </row>
    <row r="25" spans="1:66" ht="12.6" customHeight="1">
      <c r="A25" s="131"/>
      <c r="B25" s="378"/>
      <c r="C25" s="215" t="s">
        <v>591</v>
      </c>
      <c r="D25" s="381" t="s">
        <v>101</v>
      </c>
      <c r="E25" s="381"/>
      <c r="F25" s="236" t="s">
        <v>643</v>
      </c>
      <c r="G25" s="237">
        <v>21</v>
      </c>
      <c r="H25" s="237">
        <v>11</v>
      </c>
      <c r="I25" s="314">
        <v>2012</v>
      </c>
      <c r="J25" s="130"/>
      <c r="K25" s="378"/>
      <c r="L25" s="215" t="str">
        <f>'Annexure-1'!G63</f>
        <v>January, 2014</v>
      </c>
      <c r="M25" s="304">
        <v>0</v>
      </c>
      <c r="N25" s="130"/>
      <c r="O25" s="307" t="s">
        <v>498</v>
      </c>
      <c r="P25" s="211" t="s">
        <v>663</v>
      </c>
      <c r="Q25" s="308">
        <v>0</v>
      </c>
      <c r="R25" s="184"/>
      <c r="S25" s="185"/>
      <c r="T25" s="185"/>
      <c r="U25" s="185"/>
      <c r="V25" s="185"/>
      <c r="Y25" s="197"/>
      <c r="AA25" s="186" t="s">
        <v>648</v>
      </c>
      <c r="AC25" s="191">
        <f>IF(D26="No","",G26)</f>
        <v>41609</v>
      </c>
      <c r="AD25" s="180">
        <f>VLOOKUP(I26,BA3:BB4,2,FALSE)</f>
        <v>15</v>
      </c>
      <c r="AE25" s="180">
        <v>30</v>
      </c>
      <c r="AF25" s="180">
        <f>IF(AC25="",0,ROUND(VLOOKUP(AC25,Details,4)*AD25/AE25,0))</f>
        <v>9015</v>
      </c>
      <c r="AG25" s="180">
        <f>IF(AC25="",0,ROUND(VLOOKUP(AC25,Details,5)*AD25/AE25,0))</f>
        <v>5711</v>
      </c>
      <c r="AH25" s="180">
        <f>IF(AC25="",0,ROUND(AF25*VLOOKUP(AC25,AV$18:AW$20,2)%,0))</f>
        <v>1082</v>
      </c>
      <c r="AI25" s="180">
        <f>IF(AC25="",0,ROUND((VLOOKUP(AC25,Details,7)-VLOOKUP(AC25-1,Details,7))*AD25/AE25,0))</f>
        <v>0</v>
      </c>
      <c r="AJ25" s="180">
        <f>IF(AC25="",0,ROUND((VLOOKUP(AC25,Details,8)-VLOOKUP(AC25-1,Details,8))*AD25/AE25,0))</f>
        <v>0</v>
      </c>
      <c r="AK25" s="180">
        <f>IF(AC25="",0,ROUND((VLOOKUP(AC25,Details,9)-VLOOKUP(AC25-1,Details,9))*AD25/AE25,0))</f>
        <v>0</v>
      </c>
      <c r="AL25" s="180">
        <f>IF(AC25="",0,ROUND(F22*AD25/AE25,0))</f>
        <v>0</v>
      </c>
      <c r="AV25" s="206">
        <v>13661</v>
      </c>
      <c r="AW25" s="206">
        <v>475</v>
      </c>
      <c r="AX25" s="206">
        <v>575</v>
      </c>
      <c r="AY25" s="206">
        <v>625</v>
      </c>
      <c r="BA25" s="180" t="s">
        <v>473</v>
      </c>
      <c r="BB25" s="192">
        <v>250000</v>
      </c>
      <c r="BC25" s="195">
        <v>23</v>
      </c>
      <c r="BD25" s="238">
        <f t="shared" si="23"/>
        <v>41609</v>
      </c>
      <c r="BG25" s="180">
        <v>1975</v>
      </c>
      <c r="BH25" s="199">
        <v>11200</v>
      </c>
      <c r="BI25" s="199">
        <v>11530</v>
      </c>
      <c r="BJ25" s="199">
        <v>11860</v>
      </c>
      <c r="BK25" s="199">
        <v>12190</v>
      </c>
      <c r="BL25" s="183" t="s">
        <v>574</v>
      </c>
      <c r="BM25" s="256">
        <v>22</v>
      </c>
      <c r="BN25" s="257" t="s">
        <v>126</v>
      </c>
    </row>
    <row r="26" spans="1:66" ht="12.6" customHeight="1">
      <c r="A26" s="131"/>
      <c r="B26" s="378"/>
      <c r="C26" s="215" t="s">
        <v>649</v>
      </c>
      <c r="D26" s="381" t="s">
        <v>483</v>
      </c>
      <c r="E26" s="381"/>
      <c r="F26" s="239" t="s">
        <v>42</v>
      </c>
      <c r="G26" s="389">
        <v>41609</v>
      </c>
      <c r="H26" s="390"/>
      <c r="I26" s="315" t="s">
        <v>100</v>
      </c>
      <c r="J26" s="130"/>
      <c r="K26" s="378"/>
      <c r="L26" s="215">
        <f>'Annexure-1'!G64</f>
        <v>0</v>
      </c>
      <c r="M26" s="304">
        <v>0</v>
      </c>
      <c r="N26" s="130"/>
      <c r="O26" s="307" t="s">
        <v>509</v>
      </c>
      <c r="P26" s="211" t="s">
        <v>479</v>
      </c>
      <c r="Q26" s="308">
        <v>0</v>
      </c>
      <c r="R26" s="184"/>
      <c r="S26" s="185"/>
      <c r="T26" s="185"/>
      <c r="U26" s="185"/>
      <c r="V26" s="185"/>
      <c r="Y26" s="197"/>
      <c r="Z26" s="186" t="s">
        <v>692</v>
      </c>
      <c r="AA26" s="191">
        <f>IF(DoNI="",AGInc,EDATE(DoNI,12))</f>
        <v>41913</v>
      </c>
      <c r="AC26" s="191"/>
      <c r="AV26" s="206">
        <v>17051</v>
      </c>
      <c r="AW26" s="206">
        <v>575</v>
      </c>
      <c r="AX26" s="206">
        <v>625</v>
      </c>
      <c r="AY26" s="206">
        <v>700</v>
      </c>
      <c r="BA26" s="180" t="s">
        <v>436</v>
      </c>
      <c r="BB26" s="192">
        <f>VLOOKUP(H4,BA23:BB25,2,FALSE)</f>
        <v>200000</v>
      </c>
      <c r="BC26" s="195">
        <v>24</v>
      </c>
      <c r="BD26" s="238">
        <f t="shared" si="23"/>
        <v>41640</v>
      </c>
      <c r="BG26" s="180">
        <v>1976</v>
      </c>
      <c r="BH26" s="199">
        <v>11530</v>
      </c>
      <c r="BI26" s="199">
        <v>11860</v>
      </c>
      <c r="BJ26" s="199">
        <v>12190</v>
      </c>
      <c r="BK26" s="199">
        <v>12550</v>
      </c>
      <c r="BL26" s="183" t="s">
        <v>575</v>
      </c>
      <c r="BM26" s="256">
        <v>23</v>
      </c>
      <c r="BN26" s="257" t="s">
        <v>127</v>
      </c>
    </row>
    <row r="27" spans="1:66" ht="12.6" customHeight="1">
      <c r="A27" s="131"/>
      <c r="B27" s="378"/>
      <c r="C27" s="215" t="s">
        <v>602</v>
      </c>
      <c r="D27" s="216" t="s">
        <v>101</v>
      </c>
      <c r="E27" s="240" t="s">
        <v>603</v>
      </c>
      <c r="F27" s="264" t="s">
        <v>101</v>
      </c>
      <c r="G27" s="240" t="s">
        <v>646</v>
      </c>
      <c r="H27" s="387" t="s">
        <v>599</v>
      </c>
      <c r="I27" s="388"/>
      <c r="J27" s="130"/>
      <c r="K27" s="378"/>
      <c r="L27" s="215" t="str">
        <f>'Annexure-1'!G65</f>
        <v>Total</v>
      </c>
      <c r="M27" s="321">
        <f>SUM(M23:M26)</f>
        <v>0</v>
      </c>
      <c r="N27" s="130"/>
      <c r="O27" s="307" t="s">
        <v>499</v>
      </c>
      <c r="P27" s="211" t="s">
        <v>480</v>
      </c>
      <c r="Q27" s="308">
        <v>0</v>
      </c>
      <c r="R27" s="184"/>
      <c r="S27" s="185"/>
      <c r="T27" s="185"/>
      <c r="U27" s="185"/>
      <c r="V27" s="185"/>
      <c r="W27" s="198" t="s">
        <v>527</v>
      </c>
      <c r="Y27" s="197"/>
      <c r="Z27" s="186" t="s">
        <v>696</v>
      </c>
      <c r="AA27" s="191">
        <f>IF(DoNI="","",DATE(2013,VLOOKUP(G22,BD3:BE14,2,FALSE),1))</f>
        <v>41548</v>
      </c>
      <c r="AC27" s="191"/>
      <c r="AV27" s="206">
        <v>21251</v>
      </c>
      <c r="AW27" s="206">
        <v>625</v>
      </c>
      <c r="AX27" s="206">
        <v>675</v>
      </c>
      <c r="AY27" s="206">
        <v>775</v>
      </c>
      <c r="BC27" s="195">
        <v>25</v>
      </c>
      <c r="BD27" s="238">
        <f t="shared" si="23"/>
        <v>41671</v>
      </c>
      <c r="BG27" s="180">
        <v>1977</v>
      </c>
      <c r="BH27" s="199">
        <v>11860</v>
      </c>
      <c r="BI27" s="199">
        <v>12190</v>
      </c>
      <c r="BJ27" s="199">
        <v>12550</v>
      </c>
      <c r="BK27" s="199">
        <v>12910</v>
      </c>
      <c r="BL27" s="183" t="s">
        <v>576</v>
      </c>
      <c r="BM27" s="256">
        <v>24</v>
      </c>
      <c r="BN27" s="257" t="s">
        <v>128</v>
      </c>
    </row>
    <row r="28" spans="1:66" ht="12.6" customHeight="1">
      <c r="A28" s="131"/>
      <c r="B28" s="378"/>
      <c r="C28" s="232" t="s">
        <v>647</v>
      </c>
      <c r="D28" s="391" t="s">
        <v>646</v>
      </c>
      <c r="E28" s="391"/>
      <c r="F28" s="392" t="s">
        <v>467</v>
      </c>
      <c r="G28" s="392"/>
      <c r="H28" s="392"/>
      <c r="I28" s="316" t="s">
        <v>91</v>
      </c>
      <c r="J28" s="130"/>
      <c r="K28" s="378"/>
      <c r="L28" s="215" t="s">
        <v>438</v>
      </c>
      <c r="M28" s="304">
        <v>0</v>
      </c>
      <c r="N28" s="130"/>
      <c r="O28" s="307"/>
      <c r="P28" s="241" t="s">
        <v>656</v>
      </c>
      <c r="Q28" s="308">
        <v>0</v>
      </c>
      <c r="R28" s="184"/>
      <c r="S28" s="185"/>
      <c r="T28" s="185"/>
      <c r="U28" s="185"/>
      <c r="V28" s="185"/>
      <c r="Y28" s="197"/>
      <c r="Z28" s="180"/>
      <c r="AA28" s="186" t="s">
        <v>714</v>
      </c>
      <c r="AB28" s="196" t="str">
        <f>PROPER(D8&amp;", "&amp;D9&amp;", "&amp;D10)</f>
        <v>H.No.3-4-34/5, Bank Colony, K.Agraharam, Amalapuram</v>
      </c>
      <c r="AV28" s="206">
        <v>28451</v>
      </c>
      <c r="AW28" s="206">
        <v>675</v>
      </c>
      <c r="AX28" s="206">
        <v>725</v>
      </c>
      <c r="AY28" s="206">
        <v>850</v>
      </c>
      <c r="BA28" s="182" t="s">
        <v>472</v>
      </c>
      <c r="BB28" s="180" t="s">
        <v>468</v>
      </c>
      <c r="BC28" s="195">
        <v>26</v>
      </c>
      <c r="BG28" s="180">
        <v>1978</v>
      </c>
      <c r="BH28" s="199">
        <v>12190</v>
      </c>
      <c r="BI28" s="199">
        <v>12550</v>
      </c>
      <c r="BJ28" s="199">
        <v>12910</v>
      </c>
      <c r="BK28" s="199">
        <v>13270</v>
      </c>
      <c r="BL28" s="183" t="s">
        <v>577</v>
      </c>
      <c r="BM28" s="256">
        <v>25</v>
      </c>
      <c r="BN28" s="257" t="s">
        <v>129</v>
      </c>
    </row>
    <row r="29" spans="1:66" ht="12.6" customHeight="1">
      <c r="A29" s="131"/>
      <c r="B29" s="378"/>
      <c r="C29" s="215" t="str">
        <f>TEXT(EDATE(Y2,2),"DD-MM-YYYY")&amp;"  to"</f>
        <v>01-03-2013  to</v>
      </c>
      <c r="D29" s="233">
        <v>28</v>
      </c>
      <c r="E29" s="233">
        <v>2</v>
      </c>
      <c r="F29" s="234">
        <v>2014</v>
      </c>
      <c r="G29" s="393">
        <v>12</v>
      </c>
      <c r="H29" s="393"/>
      <c r="I29" s="317" t="s">
        <v>101</v>
      </c>
      <c r="J29" s="242">
        <f>DATE(F29,E29,D29)</f>
        <v>41698</v>
      </c>
      <c r="K29" s="378"/>
      <c r="L29" s="215" t="s">
        <v>604</v>
      </c>
      <c r="M29" s="304">
        <v>0</v>
      </c>
      <c r="N29" s="130"/>
      <c r="O29" s="307" t="s">
        <v>500</v>
      </c>
      <c r="P29" s="211" t="s">
        <v>715</v>
      </c>
      <c r="Q29" s="308">
        <v>0</v>
      </c>
      <c r="R29" s="184"/>
      <c r="S29" s="185"/>
      <c r="T29" s="185"/>
      <c r="U29" s="334" t="s">
        <v>670</v>
      </c>
      <c r="V29" s="185"/>
      <c r="Y29" s="197"/>
      <c r="AA29" s="186" t="s">
        <v>658</v>
      </c>
      <c r="AB29" s="196" t="str">
        <f>PROPER(D6&amp;", "&amp;D7)</f>
        <v>Z.P.P.High School, Isukapudi</v>
      </c>
      <c r="BA29" s="180" t="s">
        <v>225</v>
      </c>
      <c r="BB29" s="180" t="s">
        <v>18</v>
      </c>
      <c r="BC29" s="195">
        <v>27</v>
      </c>
      <c r="BG29" s="180">
        <v>1979</v>
      </c>
      <c r="BH29" s="199">
        <v>12550</v>
      </c>
      <c r="BI29" s="199">
        <v>12910</v>
      </c>
      <c r="BJ29" s="199">
        <v>13270</v>
      </c>
      <c r="BK29" s="199">
        <v>13660</v>
      </c>
      <c r="BL29" s="183" t="s">
        <v>578</v>
      </c>
      <c r="BM29" s="256">
        <v>26</v>
      </c>
      <c r="BN29" s="257" t="s">
        <v>130</v>
      </c>
    </row>
    <row r="30" spans="1:66" ht="12.6" customHeight="1">
      <c r="A30" s="131"/>
      <c r="B30" s="379"/>
      <c r="C30" s="235" t="str">
        <f>IF(DATE(F29,E29,D29+1)&gt;Upto,"",TEXT(DATE(F29,E29,D29+1),"DD-MM-YYYY")&amp;"  to")</f>
        <v/>
      </c>
      <c r="D30" s="318" t="str">
        <f>IF($C30="","",28)</f>
        <v/>
      </c>
      <c r="E30" s="318" t="str">
        <f>IF($C30="","",2)</f>
        <v/>
      </c>
      <c r="F30" s="319" t="str">
        <f>IF($C30="","",2013)</f>
        <v/>
      </c>
      <c r="G30" s="394">
        <v>12</v>
      </c>
      <c r="H30" s="394"/>
      <c r="I30" s="320" t="s">
        <v>101</v>
      </c>
      <c r="J30" s="130"/>
      <c r="K30" s="379"/>
      <c r="L30" s="235"/>
      <c r="M30" s="322"/>
      <c r="N30" s="130"/>
      <c r="O30" s="307"/>
      <c r="P30" s="241" t="s">
        <v>654</v>
      </c>
      <c r="Q30" s="308">
        <v>0</v>
      </c>
      <c r="R30" s="184"/>
      <c r="S30" s="185"/>
      <c r="T30" s="185"/>
      <c r="U30" s="334" t="s">
        <v>664</v>
      </c>
      <c r="V30" s="185"/>
      <c r="AA30" s="180" t="s">
        <v>719</v>
      </c>
      <c r="AB30" s="196" t="str">
        <f>PROPER(D17&amp;", "&amp;D18&amp;", "&amp;D19)</f>
        <v>Z.P.P.High School, Kothapalem, Ambajipeta Mandal</v>
      </c>
      <c r="BA30" s="180" t="s">
        <v>226</v>
      </c>
      <c r="BB30" s="180" t="s">
        <v>469</v>
      </c>
      <c r="BC30" s="195">
        <v>28</v>
      </c>
      <c r="BG30" s="180">
        <v>1980</v>
      </c>
      <c r="BH30" s="199">
        <v>12910</v>
      </c>
      <c r="BI30" s="199">
        <v>13270</v>
      </c>
      <c r="BJ30" s="199">
        <v>13660</v>
      </c>
      <c r="BK30" s="199">
        <v>14050</v>
      </c>
      <c r="BL30" s="183" t="s">
        <v>579</v>
      </c>
      <c r="BM30" s="256">
        <v>27</v>
      </c>
      <c r="BN30" s="257" t="s">
        <v>131</v>
      </c>
    </row>
    <row r="31" spans="1:66" ht="12.6" customHeight="1">
      <c r="A31" s="131"/>
      <c r="B31" s="130"/>
      <c r="C31" s="133"/>
      <c r="D31" s="130"/>
      <c r="E31" s="130"/>
      <c r="F31" s="130"/>
      <c r="G31" s="130"/>
      <c r="H31" s="130"/>
      <c r="I31" s="130"/>
      <c r="J31" s="130"/>
      <c r="K31" s="130"/>
      <c r="L31" s="133"/>
      <c r="M31" s="130"/>
      <c r="N31" s="130"/>
      <c r="O31" s="307" t="s">
        <v>501</v>
      </c>
      <c r="P31" s="211" t="s">
        <v>538</v>
      </c>
      <c r="Q31" s="308">
        <v>0</v>
      </c>
      <c r="R31" s="184"/>
      <c r="S31" s="185"/>
      <c r="T31" s="185"/>
      <c r="U31" s="334" t="s">
        <v>665</v>
      </c>
      <c r="V31" s="185"/>
      <c r="BC31" s="195">
        <v>29</v>
      </c>
      <c r="BG31" s="180">
        <v>1981</v>
      </c>
      <c r="BH31" s="199">
        <v>13270</v>
      </c>
      <c r="BI31" s="199">
        <v>13660</v>
      </c>
      <c r="BJ31" s="199">
        <v>14050</v>
      </c>
      <c r="BK31" s="199">
        <v>14440</v>
      </c>
      <c r="BL31" s="183" t="s">
        <v>580</v>
      </c>
      <c r="BM31" s="256">
        <v>28</v>
      </c>
      <c r="BN31" s="257" t="s">
        <v>132</v>
      </c>
    </row>
    <row r="32" spans="1:66" ht="12.6" customHeight="1">
      <c r="A32" s="131"/>
      <c r="B32" s="377" t="s">
        <v>615</v>
      </c>
      <c r="C32" s="323" t="s">
        <v>653</v>
      </c>
      <c r="D32" s="301"/>
      <c r="E32" s="301"/>
      <c r="F32" s="301"/>
      <c r="G32" s="301"/>
      <c r="H32" s="301"/>
      <c r="I32" s="324"/>
      <c r="K32" s="377" t="s">
        <v>537</v>
      </c>
      <c r="L32" s="301" t="s">
        <v>521</v>
      </c>
      <c r="M32" s="325">
        <f>'Form No.16'!K14</f>
        <v>395305</v>
      </c>
      <c r="N32" s="130"/>
      <c r="O32" s="307"/>
      <c r="P32" s="241" t="s">
        <v>655</v>
      </c>
      <c r="Q32" s="308">
        <v>0</v>
      </c>
      <c r="R32" s="184"/>
      <c r="S32" s="185"/>
      <c r="T32" s="185"/>
      <c r="U32" s="334" t="s">
        <v>666</v>
      </c>
      <c r="V32" s="185"/>
      <c r="AC32" s="203"/>
      <c r="AW32" s="203"/>
      <c r="BA32" s="182"/>
      <c r="BC32" s="195">
        <v>30</v>
      </c>
      <c r="BG32" s="180">
        <v>1982</v>
      </c>
      <c r="BH32" s="199">
        <v>13660</v>
      </c>
      <c r="BI32" s="199">
        <v>14050</v>
      </c>
      <c r="BJ32" s="199">
        <v>14440</v>
      </c>
      <c r="BK32" s="199">
        <v>14860</v>
      </c>
      <c r="BL32" s="183" t="s">
        <v>581</v>
      </c>
      <c r="BM32" s="256">
        <v>29</v>
      </c>
      <c r="BN32" s="257" t="s">
        <v>133</v>
      </c>
    </row>
    <row r="33" spans="1:66" ht="12.6" customHeight="1">
      <c r="A33" s="131"/>
      <c r="B33" s="378"/>
      <c r="C33" s="328" t="s">
        <v>468</v>
      </c>
      <c r="D33" s="381">
        <v>2000</v>
      </c>
      <c r="E33" s="381"/>
      <c r="F33" s="265" t="s">
        <v>101</v>
      </c>
      <c r="G33" s="380">
        <v>41061</v>
      </c>
      <c r="H33" s="380"/>
      <c r="I33" s="308">
        <v>3000</v>
      </c>
      <c r="K33" s="378"/>
      <c r="L33" s="215" t="s">
        <v>644</v>
      </c>
      <c r="M33" s="326">
        <f>'Form No.16'!K18+'Form No.16'!K23</f>
        <v>29037</v>
      </c>
      <c r="N33" s="130"/>
      <c r="O33" s="307" t="s">
        <v>502</v>
      </c>
      <c r="P33" s="211" t="s">
        <v>481</v>
      </c>
      <c r="Q33" s="308">
        <v>0</v>
      </c>
      <c r="R33" s="184"/>
      <c r="S33" s="185"/>
      <c r="T33" s="185"/>
      <c r="U33" s="334" t="s">
        <v>667</v>
      </c>
      <c r="V33" s="185"/>
      <c r="BC33" s="195">
        <v>31</v>
      </c>
      <c r="BG33" s="180">
        <v>1983</v>
      </c>
      <c r="BH33" s="199">
        <v>14050</v>
      </c>
      <c r="BI33" s="199">
        <v>14440</v>
      </c>
      <c r="BJ33" s="199">
        <v>14860</v>
      </c>
      <c r="BK33" s="199">
        <v>15280</v>
      </c>
      <c r="BL33" s="183" t="s">
        <v>582</v>
      </c>
      <c r="BM33" s="256">
        <v>30</v>
      </c>
      <c r="BN33" s="257" t="s">
        <v>134</v>
      </c>
    </row>
    <row r="34" spans="1:66" ht="12.6" customHeight="1">
      <c r="A34" s="137"/>
      <c r="B34" s="378"/>
      <c r="C34" s="215" t="s">
        <v>22</v>
      </c>
      <c r="D34" s="381">
        <v>1000</v>
      </c>
      <c r="E34" s="381"/>
      <c r="F34" s="265" t="s">
        <v>101</v>
      </c>
      <c r="G34" s="380">
        <v>41091</v>
      </c>
      <c r="H34" s="380"/>
      <c r="I34" s="308">
        <v>100</v>
      </c>
      <c r="K34" s="378"/>
      <c r="L34" s="215" t="s">
        <v>624</v>
      </c>
      <c r="M34" s="326">
        <f>'Form No.16'!M24</f>
        <v>366268</v>
      </c>
      <c r="N34" s="135"/>
      <c r="O34" s="307" t="s">
        <v>731</v>
      </c>
      <c r="P34" s="212"/>
      <c r="Q34" s="308">
        <v>0</v>
      </c>
      <c r="R34" s="184"/>
      <c r="S34" s="185"/>
      <c r="T34" s="185"/>
      <c r="U34" s="334" t="s">
        <v>668</v>
      </c>
      <c r="V34" s="185"/>
      <c r="AY34" s="192"/>
      <c r="BG34" s="180">
        <v>1984</v>
      </c>
      <c r="BH34" s="199">
        <v>14440</v>
      </c>
      <c r="BI34" s="199">
        <v>14860</v>
      </c>
      <c r="BJ34" s="199">
        <v>15280</v>
      </c>
      <c r="BK34" s="199">
        <v>15700</v>
      </c>
      <c r="BL34" s="183" t="s">
        <v>583</v>
      </c>
      <c r="BM34" s="256">
        <v>31</v>
      </c>
      <c r="BN34" s="257" t="s">
        <v>135</v>
      </c>
    </row>
    <row r="35" spans="1:66" ht="12.6" customHeight="1">
      <c r="A35" s="137"/>
      <c r="B35" s="378"/>
      <c r="C35" s="215" t="s">
        <v>25</v>
      </c>
      <c r="D35" s="381">
        <v>60</v>
      </c>
      <c r="E35" s="381"/>
      <c r="F35" s="265" t="s">
        <v>101</v>
      </c>
      <c r="G35" s="380">
        <v>41122</v>
      </c>
      <c r="H35" s="380"/>
      <c r="I35" s="308">
        <v>120</v>
      </c>
      <c r="K35" s="378"/>
      <c r="L35" s="215" t="s">
        <v>645</v>
      </c>
      <c r="M35" s="326">
        <f>'Form No.16'!M54</f>
        <v>100040</v>
      </c>
      <c r="N35" s="135"/>
      <c r="O35" s="307" t="s">
        <v>503</v>
      </c>
      <c r="P35" s="211" t="s">
        <v>496</v>
      </c>
      <c r="Q35" s="308">
        <v>40</v>
      </c>
      <c r="R35" s="184"/>
      <c r="S35" s="185"/>
      <c r="T35" s="185"/>
      <c r="V35" s="185"/>
      <c r="AW35" s="192"/>
      <c r="BG35" s="180">
        <v>1985</v>
      </c>
      <c r="BH35" s="199">
        <v>14860</v>
      </c>
      <c r="BI35" s="199">
        <v>15280</v>
      </c>
      <c r="BJ35" s="199">
        <v>15700</v>
      </c>
      <c r="BK35" s="199">
        <v>16150</v>
      </c>
      <c r="BM35" s="256">
        <v>32</v>
      </c>
      <c r="BN35" s="257" t="s">
        <v>136</v>
      </c>
    </row>
    <row r="36" spans="1:66" ht="12.6" customHeight="1">
      <c r="A36" s="137"/>
      <c r="B36" s="378"/>
      <c r="C36" s="215" t="s">
        <v>618</v>
      </c>
      <c r="D36" s="383">
        <v>6500</v>
      </c>
      <c r="E36" s="383"/>
      <c r="F36" s="265" t="s">
        <v>101</v>
      </c>
      <c r="G36" s="380">
        <v>41122</v>
      </c>
      <c r="H36" s="380"/>
      <c r="I36" s="308">
        <v>2500</v>
      </c>
      <c r="K36" s="378"/>
      <c r="L36" s="215" t="s">
        <v>522</v>
      </c>
      <c r="M36" s="326">
        <f>'Form No.16'!M55</f>
        <v>266228</v>
      </c>
      <c r="N36" s="135"/>
      <c r="O36" s="307" t="s">
        <v>504</v>
      </c>
      <c r="P36" s="211" t="s">
        <v>642</v>
      </c>
      <c r="Q36" s="308">
        <v>0</v>
      </c>
      <c r="R36" s="184"/>
      <c r="S36" s="185"/>
      <c r="T36" s="185"/>
      <c r="V36" s="185"/>
      <c r="AV36" s="203"/>
      <c r="AW36" s="192"/>
      <c r="BG36" s="180">
        <v>1986</v>
      </c>
      <c r="BH36" s="199">
        <v>15280</v>
      </c>
      <c r="BI36" s="199">
        <v>15700</v>
      </c>
      <c r="BJ36" s="199">
        <v>16150</v>
      </c>
      <c r="BK36" s="199">
        <v>16600</v>
      </c>
      <c r="BM36" s="256">
        <v>33</v>
      </c>
      <c r="BN36" s="257" t="s">
        <v>137</v>
      </c>
    </row>
    <row r="37" spans="1:66" ht="12.6" customHeight="1">
      <c r="A37" s="137"/>
      <c r="B37" s="378"/>
      <c r="C37" s="396" t="s">
        <v>619</v>
      </c>
      <c r="D37" s="383">
        <v>2500</v>
      </c>
      <c r="E37" s="383"/>
      <c r="F37" s="265" t="s">
        <v>694</v>
      </c>
      <c r="G37" s="380">
        <v>41640</v>
      </c>
      <c r="H37" s="380"/>
      <c r="I37" s="308" t="s">
        <v>483</v>
      </c>
      <c r="K37" s="378"/>
      <c r="L37" s="215" t="s">
        <v>523</v>
      </c>
      <c r="M37" s="326">
        <f>'Form No.16'!M62</f>
        <v>4762</v>
      </c>
      <c r="N37" s="130"/>
      <c r="O37" s="307" t="s">
        <v>505</v>
      </c>
      <c r="P37" s="211" t="s">
        <v>657</v>
      </c>
      <c r="Q37" s="308">
        <v>0</v>
      </c>
      <c r="R37" s="184"/>
      <c r="S37" s="185"/>
      <c r="T37" s="185"/>
      <c r="V37" s="185"/>
      <c r="AV37" s="203"/>
      <c r="AW37" s="192"/>
      <c r="BG37" s="180">
        <v>1987</v>
      </c>
      <c r="BH37" s="199">
        <v>15700</v>
      </c>
      <c r="BI37" s="199">
        <v>16150</v>
      </c>
      <c r="BJ37" s="199">
        <v>16600</v>
      </c>
      <c r="BK37" s="199">
        <v>17050</v>
      </c>
      <c r="BM37" s="256">
        <v>34</v>
      </c>
      <c r="BN37" s="257" t="s">
        <v>138</v>
      </c>
    </row>
    <row r="38" spans="1:66" ht="12.6" customHeight="1">
      <c r="A38" s="137"/>
      <c r="B38" s="378"/>
      <c r="C38" s="396"/>
      <c r="D38" s="383">
        <v>2270</v>
      </c>
      <c r="E38" s="383"/>
      <c r="F38" s="265" t="s">
        <v>694</v>
      </c>
      <c r="G38" s="380">
        <v>41671</v>
      </c>
      <c r="H38" s="380"/>
      <c r="I38" s="330"/>
      <c r="K38" s="378"/>
      <c r="L38" s="215" t="s">
        <v>541</v>
      </c>
      <c r="M38" s="326">
        <f>'Annexure-1'!I65</f>
        <v>4770</v>
      </c>
      <c r="N38" s="130"/>
      <c r="O38" s="307" t="s">
        <v>506</v>
      </c>
      <c r="P38" s="211" t="s">
        <v>495</v>
      </c>
      <c r="Q38" s="308">
        <v>0</v>
      </c>
      <c r="R38" s="184"/>
      <c r="S38" s="185"/>
      <c r="T38" s="185"/>
      <c r="V38" s="185"/>
      <c r="Y38" s="198"/>
      <c r="AV38" s="203"/>
      <c r="BG38" s="180">
        <v>1988</v>
      </c>
      <c r="BH38" s="199">
        <v>16150</v>
      </c>
      <c r="BI38" s="199">
        <v>16600</v>
      </c>
      <c r="BJ38" s="199">
        <v>17050</v>
      </c>
      <c r="BK38" s="199">
        <v>17540</v>
      </c>
      <c r="BM38" s="256">
        <v>35</v>
      </c>
      <c r="BN38" s="257" t="s">
        <v>139</v>
      </c>
    </row>
    <row r="39" spans="1:66" ht="12.6" customHeight="1">
      <c r="A39" s="137"/>
      <c r="B39" s="378"/>
      <c r="C39" s="215"/>
      <c r="D39" s="382"/>
      <c r="E39" s="382"/>
      <c r="F39" s="329"/>
      <c r="G39" s="384"/>
      <c r="H39" s="384"/>
      <c r="I39" s="330"/>
      <c r="K39" s="378"/>
      <c r="L39" s="215" t="str">
        <f>"Balance tax to be "&amp;IF(M39&lt;0,"refunded","paid")</f>
        <v>Balance tax to be paid</v>
      </c>
      <c r="M39" s="326">
        <f>'Form No.16'!M65</f>
        <v>0</v>
      </c>
      <c r="N39" s="130"/>
      <c r="O39" s="307" t="s">
        <v>507</v>
      </c>
      <c r="P39" s="211" t="s">
        <v>482</v>
      </c>
      <c r="Q39" s="308">
        <v>0</v>
      </c>
      <c r="R39" s="184"/>
      <c r="S39" s="185"/>
      <c r="T39" s="185"/>
      <c r="V39" s="207"/>
      <c r="AV39" s="203"/>
      <c r="BG39" s="180">
        <v>1989</v>
      </c>
      <c r="BH39" s="199">
        <v>16600</v>
      </c>
      <c r="BI39" s="199">
        <v>17050</v>
      </c>
      <c r="BJ39" s="199">
        <v>17540</v>
      </c>
      <c r="BK39" s="199">
        <v>18030</v>
      </c>
      <c r="BM39" s="256">
        <v>36</v>
      </c>
      <c r="BN39" s="257" t="s">
        <v>140</v>
      </c>
    </row>
    <row r="40" spans="1:66" ht="12.6" customHeight="1">
      <c r="A40" s="137"/>
      <c r="B40" s="379"/>
      <c r="C40" s="235"/>
      <c r="D40" s="395"/>
      <c r="E40" s="395"/>
      <c r="F40" s="331"/>
      <c r="G40" s="332"/>
      <c r="H40" s="332"/>
      <c r="I40" s="333"/>
      <c r="K40" s="379"/>
      <c r="L40" s="235"/>
      <c r="M40" s="327"/>
      <c r="N40" s="130"/>
      <c r="O40" s="309"/>
      <c r="P40" s="310" t="s">
        <v>654</v>
      </c>
      <c r="Q40" s="311">
        <v>0</v>
      </c>
      <c r="R40" s="184"/>
      <c r="S40" s="185"/>
      <c r="T40" s="185"/>
      <c r="BG40" s="180">
        <v>1990</v>
      </c>
      <c r="BH40" s="199">
        <v>17050</v>
      </c>
      <c r="BI40" s="199">
        <v>17540</v>
      </c>
      <c r="BJ40" s="199">
        <v>18030</v>
      </c>
      <c r="BK40" s="199">
        <v>18520</v>
      </c>
      <c r="BM40" s="256">
        <v>37</v>
      </c>
      <c r="BN40" s="257" t="s">
        <v>141</v>
      </c>
    </row>
    <row r="41" spans="1:66" ht="18.75" customHeight="1" thickBot="1">
      <c r="A41" s="138"/>
      <c r="B41" s="386" t="s">
        <v>614</v>
      </c>
      <c r="C41" s="386"/>
      <c r="D41" s="386"/>
      <c r="E41" s="386"/>
      <c r="F41" s="386"/>
      <c r="G41" s="386"/>
      <c r="H41" s="386"/>
      <c r="I41" s="386"/>
      <c r="J41" s="386"/>
      <c r="K41" s="386"/>
      <c r="L41" s="386"/>
      <c r="M41" s="386"/>
      <c r="N41" s="386"/>
      <c r="O41" s="386"/>
      <c r="P41" s="386"/>
      <c r="Q41" s="386"/>
      <c r="R41" s="213"/>
      <c r="S41" s="267"/>
      <c r="T41" s="267"/>
      <c r="BH41" s="199">
        <v>17540</v>
      </c>
      <c r="BI41" s="199">
        <v>18030</v>
      </c>
      <c r="BJ41" s="199">
        <v>18520</v>
      </c>
      <c r="BK41" s="199">
        <v>19050</v>
      </c>
      <c r="BM41" s="256">
        <v>38</v>
      </c>
      <c r="BN41" s="257" t="s">
        <v>142</v>
      </c>
    </row>
    <row r="42" spans="1:66" ht="12" hidden="1" customHeight="1">
      <c r="BH42" s="199">
        <v>18030</v>
      </c>
      <c r="BI42" s="199">
        <v>18520</v>
      </c>
      <c r="BJ42" s="199">
        <v>19050</v>
      </c>
      <c r="BK42" s="199">
        <v>19580</v>
      </c>
      <c r="BM42" s="256">
        <v>39</v>
      </c>
      <c r="BN42" s="257" t="s">
        <v>143</v>
      </c>
    </row>
    <row r="43" spans="1:66" ht="12" hidden="1" customHeight="1">
      <c r="J43" s="130"/>
      <c r="BH43" s="199">
        <v>18520</v>
      </c>
      <c r="BI43" s="199">
        <v>19050</v>
      </c>
      <c r="BJ43" s="199">
        <v>19580</v>
      </c>
      <c r="BK43" s="199">
        <v>20110</v>
      </c>
      <c r="BM43" s="256">
        <v>40</v>
      </c>
      <c r="BN43" s="257" t="s">
        <v>700</v>
      </c>
    </row>
    <row r="44" spans="1:66" ht="12" hidden="1" customHeight="1">
      <c r="A44" s="183"/>
      <c r="B44" s="183"/>
      <c r="C44" s="183"/>
      <c r="D44" s="183"/>
      <c r="E44" s="183"/>
      <c r="H44" s="139"/>
      <c r="I44" s="139"/>
      <c r="L44" s="132"/>
      <c r="BH44" s="199">
        <v>19050</v>
      </c>
      <c r="BI44" s="199">
        <v>19580</v>
      </c>
      <c r="BJ44" s="199">
        <v>20110</v>
      </c>
      <c r="BK44" s="199">
        <v>20680</v>
      </c>
      <c r="BM44" s="256">
        <v>41</v>
      </c>
      <c r="BN44" s="257" t="s">
        <v>701</v>
      </c>
    </row>
    <row r="45" spans="1:66" ht="12" hidden="1" customHeight="1">
      <c r="A45" s="183"/>
      <c r="B45" s="183"/>
      <c r="C45" s="183"/>
      <c r="D45" s="183"/>
      <c r="E45" s="183"/>
      <c r="H45" s="139"/>
      <c r="I45" s="139"/>
      <c r="L45" s="132"/>
      <c r="BH45" s="199">
        <v>19580</v>
      </c>
      <c r="BI45" s="199">
        <v>20110</v>
      </c>
      <c r="BJ45" s="199">
        <v>20680</v>
      </c>
      <c r="BK45" s="199">
        <v>21250</v>
      </c>
      <c r="BM45" s="256">
        <v>42</v>
      </c>
      <c r="BN45" s="257" t="s">
        <v>702</v>
      </c>
    </row>
    <row r="46" spans="1:66" ht="12" hidden="1" customHeight="1">
      <c r="A46" s="183"/>
      <c r="B46" s="183"/>
      <c r="C46" s="183"/>
      <c r="D46" s="183"/>
      <c r="E46" s="183"/>
      <c r="H46" s="139"/>
      <c r="I46" s="139"/>
      <c r="L46" s="132"/>
      <c r="BH46" s="199">
        <v>20110</v>
      </c>
      <c r="BI46" s="199">
        <v>20680</v>
      </c>
      <c r="BJ46" s="199">
        <v>21250</v>
      </c>
      <c r="BK46" s="199">
        <v>21820</v>
      </c>
      <c r="BM46" s="256">
        <v>43</v>
      </c>
      <c r="BN46" s="257" t="s">
        <v>703</v>
      </c>
    </row>
    <row r="47" spans="1:66" ht="12" hidden="1" customHeight="1">
      <c r="A47" s="183"/>
      <c r="B47" s="183"/>
      <c r="C47" s="183"/>
      <c r="D47" s="183"/>
      <c r="E47" s="183"/>
      <c r="H47" s="139"/>
      <c r="I47" s="139"/>
      <c r="L47" s="132"/>
      <c r="BH47" s="199">
        <v>20680</v>
      </c>
      <c r="BI47" s="199">
        <v>21250</v>
      </c>
      <c r="BJ47" s="199">
        <v>21820</v>
      </c>
      <c r="BK47" s="199">
        <v>22430</v>
      </c>
      <c r="BM47" s="256">
        <v>44</v>
      </c>
      <c r="BN47" s="257" t="s">
        <v>704</v>
      </c>
    </row>
    <row r="48" spans="1:66" ht="12" hidden="1" customHeight="1">
      <c r="A48" s="183"/>
      <c r="B48" s="183"/>
      <c r="C48" s="183"/>
      <c r="D48" s="183"/>
      <c r="E48" s="183"/>
      <c r="H48" s="139"/>
      <c r="I48" s="139"/>
      <c r="L48" s="132"/>
      <c r="BH48" s="199">
        <v>21250</v>
      </c>
      <c r="BI48" s="199">
        <v>21820</v>
      </c>
      <c r="BJ48" s="199">
        <v>22430</v>
      </c>
      <c r="BK48" s="199">
        <v>23040</v>
      </c>
      <c r="BM48" s="256">
        <v>45</v>
      </c>
      <c r="BN48" s="257" t="s">
        <v>705</v>
      </c>
    </row>
    <row r="49" spans="1:66" ht="12" hidden="1" customHeight="1">
      <c r="A49" s="183"/>
      <c r="B49" s="183"/>
      <c r="C49" s="183"/>
      <c r="D49" s="183"/>
      <c r="E49" s="183"/>
      <c r="H49" s="139"/>
      <c r="I49" s="139"/>
      <c r="L49" s="132"/>
      <c r="BH49" s="199">
        <v>21820</v>
      </c>
      <c r="BI49" s="199">
        <v>22430</v>
      </c>
      <c r="BJ49" s="199">
        <v>23040</v>
      </c>
      <c r="BK49" s="199">
        <v>23650</v>
      </c>
      <c r="BM49" s="256">
        <v>46</v>
      </c>
      <c r="BN49" s="257" t="s">
        <v>706</v>
      </c>
    </row>
    <row r="50" spans="1:66" ht="12" hidden="1" customHeight="1">
      <c r="A50" s="183"/>
      <c r="B50" s="183"/>
      <c r="C50" s="183"/>
      <c r="D50" s="183"/>
      <c r="E50" s="183"/>
      <c r="H50" s="139"/>
      <c r="I50" s="139"/>
      <c r="L50" s="132"/>
      <c r="AA50" s="183"/>
      <c r="BH50" s="199">
        <v>22430</v>
      </c>
      <c r="BI50" s="199">
        <v>23040</v>
      </c>
      <c r="BJ50" s="199">
        <v>23650</v>
      </c>
      <c r="BK50" s="199">
        <v>24300</v>
      </c>
      <c r="BM50" s="256">
        <v>47</v>
      </c>
      <c r="BN50" s="257" t="s">
        <v>707</v>
      </c>
    </row>
    <row r="51" spans="1:66" ht="12" hidden="1" customHeight="1">
      <c r="A51" s="183"/>
      <c r="B51" s="183"/>
      <c r="C51" s="183"/>
      <c r="D51" s="183"/>
      <c r="E51" s="183"/>
      <c r="H51" s="139"/>
      <c r="I51" s="139"/>
      <c r="L51" s="132"/>
      <c r="AA51" s="183"/>
      <c r="BA51" s="194"/>
      <c r="BH51" s="199">
        <v>23040</v>
      </c>
      <c r="BI51" s="199">
        <v>23650</v>
      </c>
      <c r="BJ51" s="199">
        <v>24300</v>
      </c>
      <c r="BK51" s="199">
        <v>24950</v>
      </c>
      <c r="BM51" s="256">
        <v>48</v>
      </c>
      <c r="BN51" s="257" t="s">
        <v>708</v>
      </c>
    </row>
    <row r="52" spans="1:66" ht="12" hidden="1" customHeight="1">
      <c r="A52" s="183"/>
      <c r="B52" s="183"/>
      <c r="C52" s="183"/>
      <c r="D52" s="183"/>
      <c r="E52" s="183"/>
      <c r="H52" s="139"/>
      <c r="I52" s="139"/>
      <c r="L52" s="132"/>
      <c r="AA52" s="183"/>
      <c r="BH52" s="199">
        <v>23650</v>
      </c>
      <c r="BI52" s="199">
        <v>24300</v>
      </c>
      <c r="BJ52" s="199">
        <v>24950</v>
      </c>
      <c r="BK52" s="199">
        <v>25600</v>
      </c>
      <c r="BM52" s="256">
        <v>49</v>
      </c>
      <c r="BN52" s="257" t="s">
        <v>709</v>
      </c>
    </row>
    <row r="53" spans="1:66" ht="12" hidden="1" customHeight="1">
      <c r="A53" s="183"/>
      <c r="B53" s="183"/>
      <c r="C53" s="183"/>
      <c r="D53" s="183"/>
      <c r="E53" s="183"/>
      <c r="H53" s="139"/>
      <c r="I53" s="139"/>
      <c r="L53" s="132"/>
      <c r="W53" s="132"/>
      <c r="X53" s="132"/>
      <c r="AA53" s="183"/>
      <c r="BH53" s="199">
        <v>24300</v>
      </c>
      <c r="BI53" s="199">
        <v>24950</v>
      </c>
      <c r="BJ53" s="199">
        <v>25600</v>
      </c>
      <c r="BK53" s="199">
        <v>26300</v>
      </c>
      <c r="BM53" s="256">
        <v>50</v>
      </c>
      <c r="BN53" s="257" t="s">
        <v>144</v>
      </c>
    </row>
    <row r="54" spans="1:66" ht="12" hidden="1" customHeight="1">
      <c r="A54" s="183"/>
      <c r="B54" s="183"/>
      <c r="C54" s="183"/>
      <c r="D54" s="183"/>
      <c r="E54" s="183"/>
      <c r="H54" s="139"/>
      <c r="I54" s="139"/>
      <c r="L54" s="132"/>
      <c r="AA54" s="183"/>
      <c r="BH54" s="199">
        <v>24950</v>
      </c>
      <c r="BI54" s="199">
        <v>25600</v>
      </c>
      <c r="BJ54" s="199">
        <v>26300</v>
      </c>
      <c r="BK54" s="199">
        <v>27000</v>
      </c>
      <c r="BM54" s="256">
        <v>51</v>
      </c>
      <c r="BN54" s="257" t="s">
        <v>145</v>
      </c>
    </row>
    <row r="55" spans="1:66" ht="12" hidden="1" customHeight="1">
      <c r="A55" s="183"/>
      <c r="B55" s="183"/>
      <c r="C55" s="183"/>
      <c r="D55" s="183"/>
      <c r="E55" s="183"/>
      <c r="H55" s="139"/>
      <c r="I55" s="139"/>
      <c r="L55" s="132"/>
      <c r="Y55" s="208"/>
      <c r="AA55" s="183"/>
      <c r="AU55" s="180"/>
      <c r="BH55" s="199">
        <v>25600</v>
      </c>
      <c r="BI55" s="199">
        <v>26300</v>
      </c>
      <c r="BJ55" s="199">
        <v>27000</v>
      </c>
      <c r="BK55" s="199">
        <v>27700</v>
      </c>
      <c r="BL55" s="180"/>
      <c r="BM55" s="256">
        <v>52</v>
      </c>
      <c r="BN55" s="257" t="s">
        <v>146</v>
      </c>
    </row>
    <row r="56" spans="1:66" ht="12" hidden="1" customHeight="1">
      <c r="A56" s="183"/>
      <c r="B56" s="183"/>
      <c r="C56" s="183"/>
      <c r="D56" s="183"/>
      <c r="E56" s="183"/>
      <c r="H56" s="139"/>
      <c r="I56" s="139"/>
      <c r="L56" s="132"/>
      <c r="AA56" s="209"/>
      <c r="AC56" s="183"/>
      <c r="AD56" s="183"/>
      <c r="AE56" s="183"/>
      <c r="AF56" s="183"/>
      <c r="AG56" s="183"/>
      <c r="BH56" s="199">
        <v>26300</v>
      </c>
      <c r="BI56" s="199">
        <v>27000</v>
      </c>
      <c r="BJ56" s="199">
        <v>27700</v>
      </c>
      <c r="BK56" s="199">
        <v>28450</v>
      </c>
      <c r="BM56" s="256">
        <v>53</v>
      </c>
      <c r="BN56" s="257" t="s">
        <v>147</v>
      </c>
    </row>
    <row r="57" spans="1:66" ht="12" hidden="1" customHeight="1">
      <c r="A57" s="183"/>
      <c r="B57" s="183"/>
      <c r="C57" s="183"/>
      <c r="D57" s="183"/>
      <c r="E57" s="183"/>
      <c r="H57" s="139"/>
      <c r="I57" s="139"/>
      <c r="L57" s="132"/>
      <c r="V57" s="132"/>
      <c r="AA57" s="183"/>
      <c r="BH57" s="199">
        <v>27000</v>
      </c>
      <c r="BI57" s="199">
        <v>27700</v>
      </c>
      <c r="BJ57" s="199">
        <v>28450</v>
      </c>
      <c r="BK57" s="199">
        <v>29200</v>
      </c>
      <c r="BM57" s="256">
        <v>54</v>
      </c>
      <c r="BN57" s="257" t="s">
        <v>148</v>
      </c>
    </row>
    <row r="58" spans="1:66" ht="12" hidden="1" customHeight="1">
      <c r="A58" s="183"/>
      <c r="B58" s="183"/>
      <c r="C58" s="183"/>
      <c r="D58" s="183"/>
      <c r="E58" s="183"/>
      <c r="H58" s="139"/>
      <c r="I58" s="139"/>
      <c r="L58" s="132"/>
      <c r="AA58" s="183"/>
      <c r="BH58" s="199">
        <v>27700</v>
      </c>
      <c r="BI58" s="199">
        <v>28450</v>
      </c>
      <c r="BJ58" s="199">
        <v>29200</v>
      </c>
      <c r="BK58" s="199">
        <v>29950</v>
      </c>
      <c r="BM58" s="256">
        <v>55</v>
      </c>
      <c r="BN58" s="257" t="s">
        <v>149</v>
      </c>
    </row>
    <row r="59" spans="1:66" ht="12" hidden="1" customHeight="1">
      <c r="A59" s="183"/>
      <c r="B59" s="183"/>
      <c r="C59" s="183"/>
      <c r="D59" s="183"/>
      <c r="E59" s="183"/>
      <c r="H59" s="139"/>
      <c r="I59" s="139"/>
      <c r="L59" s="132"/>
      <c r="R59" s="132"/>
      <c r="S59" s="132"/>
      <c r="T59" s="132"/>
      <c r="U59" s="132"/>
      <c r="AA59" s="183"/>
      <c r="BH59" s="199">
        <v>28450</v>
      </c>
      <c r="BI59" s="199">
        <v>29200</v>
      </c>
      <c r="BJ59" s="199">
        <v>29950</v>
      </c>
      <c r="BK59" s="199">
        <v>30750</v>
      </c>
      <c r="BM59" s="256">
        <v>56</v>
      </c>
      <c r="BN59" s="257" t="s">
        <v>150</v>
      </c>
    </row>
    <row r="60" spans="1:66" ht="12" hidden="1" customHeight="1">
      <c r="L60" s="132"/>
      <c r="AA60" s="183"/>
      <c r="BH60" s="199">
        <v>29200</v>
      </c>
      <c r="BI60" s="199">
        <v>29950</v>
      </c>
      <c r="BJ60" s="199">
        <v>30750</v>
      </c>
      <c r="BK60" s="199">
        <v>31550</v>
      </c>
      <c r="BM60" s="256">
        <v>57</v>
      </c>
      <c r="BN60" s="257" t="s">
        <v>151</v>
      </c>
    </row>
    <row r="61" spans="1:66" ht="12" hidden="1" customHeight="1">
      <c r="AA61" s="183"/>
      <c r="BH61" s="199">
        <v>29950</v>
      </c>
      <c r="BI61" s="199">
        <v>30750</v>
      </c>
      <c r="BJ61" s="199">
        <v>31550</v>
      </c>
      <c r="BK61" s="199">
        <v>32350</v>
      </c>
      <c r="BM61" s="256">
        <v>58</v>
      </c>
      <c r="BN61" s="257" t="s">
        <v>152</v>
      </c>
    </row>
    <row r="62" spans="1:66" ht="12" hidden="1" customHeight="1">
      <c r="AA62" s="183"/>
      <c r="BH62" s="199">
        <v>30750</v>
      </c>
      <c r="BI62" s="199">
        <v>31550</v>
      </c>
      <c r="BJ62" s="199">
        <v>32350</v>
      </c>
      <c r="BK62" s="199">
        <v>33200</v>
      </c>
      <c r="BM62" s="256">
        <v>59</v>
      </c>
      <c r="BN62" s="257" t="s">
        <v>153</v>
      </c>
    </row>
    <row r="63" spans="1:66" ht="12" hidden="1" customHeight="1">
      <c r="AA63" s="183"/>
      <c r="BH63" s="199">
        <v>31550</v>
      </c>
      <c r="BI63" s="199">
        <v>32350</v>
      </c>
      <c r="BJ63" s="199">
        <v>33200</v>
      </c>
      <c r="BK63" s="199">
        <v>34050</v>
      </c>
      <c r="BM63" s="256">
        <v>60</v>
      </c>
      <c r="BN63" s="257" t="s">
        <v>154</v>
      </c>
    </row>
    <row r="64" spans="1:66" ht="12" hidden="1" customHeight="1">
      <c r="BH64" s="199">
        <v>32350</v>
      </c>
      <c r="BI64" s="199">
        <v>33200</v>
      </c>
      <c r="BJ64" s="199">
        <v>34050</v>
      </c>
      <c r="BK64" s="199">
        <v>34900</v>
      </c>
      <c r="BM64" s="256">
        <v>61</v>
      </c>
      <c r="BN64" s="257" t="s">
        <v>155</v>
      </c>
    </row>
    <row r="65" spans="26:66" ht="12" hidden="1" customHeight="1">
      <c r="Z65" s="180"/>
      <c r="BH65" s="199">
        <v>33200</v>
      </c>
      <c r="BI65" s="199">
        <v>34050</v>
      </c>
      <c r="BJ65" s="199">
        <v>34900</v>
      </c>
      <c r="BK65" s="199">
        <v>35800</v>
      </c>
      <c r="BM65" s="256">
        <v>62</v>
      </c>
      <c r="BN65" s="257" t="s">
        <v>156</v>
      </c>
    </row>
    <row r="66" spans="26:66" ht="12" hidden="1" customHeight="1">
      <c r="Z66" s="180"/>
      <c r="BH66" s="199">
        <v>34050</v>
      </c>
      <c r="BI66" s="199">
        <v>34900</v>
      </c>
      <c r="BJ66" s="199">
        <v>35800</v>
      </c>
      <c r="BK66" s="199">
        <v>36700</v>
      </c>
      <c r="BM66" s="256">
        <v>63</v>
      </c>
      <c r="BN66" s="257" t="s">
        <v>157</v>
      </c>
    </row>
    <row r="67" spans="26:66" ht="12" hidden="1" customHeight="1">
      <c r="Z67" s="180"/>
      <c r="BH67" s="199">
        <v>34900</v>
      </c>
      <c r="BI67" s="199">
        <v>35800</v>
      </c>
      <c r="BJ67" s="199">
        <v>36700</v>
      </c>
      <c r="BK67" s="199">
        <v>37600</v>
      </c>
      <c r="BM67" s="256">
        <v>64</v>
      </c>
      <c r="BN67" s="257" t="s">
        <v>158</v>
      </c>
    </row>
    <row r="68" spans="26:66" ht="12" hidden="1" customHeight="1">
      <c r="Z68" s="180"/>
      <c r="BH68" s="199">
        <v>35800</v>
      </c>
      <c r="BI68" s="199">
        <v>36700</v>
      </c>
      <c r="BJ68" s="199">
        <v>37600</v>
      </c>
      <c r="BK68" s="199">
        <v>38570</v>
      </c>
      <c r="BM68" s="256">
        <v>65</v>
      </c>
      <c r="BN68" s="257" t="s">
        <v>159</v>
      </c>
    </row>
    <row r="69" spans="26:66" ht="12" hidden="1" customHeight="1">
      <c r="Z69" s="180"/>
      <c r="BH69" s="199">
        <v>36700</v>
      </c>
      <c r="BI69" s="199">
        <v>37600</v>
      </c>
      <c r="BJ69" s="199">
        <v>38570</v>
      </c>
      <c r="BK69" s="199">
        <v>39540</v>
      </c>
      <c r="BM69" s="256">
        <v>66</v>
      </c>
      <c r="BN69" s="257" t="s">
        <v>160</v>
      </c>
    </row>
    <row r="70" spans="26:66" ht="12" hidden="1" customHeight="1">
      <c r="Z70" s="180"/>
      <c r="BH70" s="199">
        <v>37600</v>
      </c>
      <c r="BI70" s="199">
        <v>38570</v>
      </c>
      <c r="BJ70" s="199">
        <v>39540</v>
      </c>
      <c r="BK70" s="199">
        <v>40510</v>
      </c>
      <c r="BM70" s="256">
        <v>67</v>
      </c>
      <c r="BN70" s="257" t="s">
        <v>161</v>
      </c>
    </row>
    <row r="71" spans="26:66" ht="12" hidden="1" customHeight="1">
      <c r="Z71" s="180"/>
      <c r="BH71" s="199">
        <v>38570</v>
      </c>
      <c r="BI71" s="199">
        <v>39540</v>
      </c>
      <c r="BJ71" s="199">
        <v>40510</v>
      </c>
      <c r="BK71" s="199">
        <v>41550</v>
      </c>
      <c r="BM71" s="256">
        <v>68</v>
      </c>
      <c r="BN71" s="257" t="s">
        <v>162</v>
      </c>
    </row>
    <row r="72" spans="26:66" ht="12" hidden="1" customHeight="1">
      <c r="Z72" s="180"/>
      <c r="BH72" s="199">
        <v>39540</v>
      </c>
      <c r="BI72" s="199">
        <v>40510</v>
      </c>
      <c r="BJ72" s="199">
        <v>41550</v>
      </c>
      <c r="BK72" s="199">
        <v>42590</v>
      </c>
      <c r="BM72" s="256">
        <v>69</v>
      </c>
      <c r="BN72" s="257" t="s">
        <v>163</v>
      </c>
    </row>
    <row r="73" spans="26:66" ht="12" hidden="1" customHeight="1">
      <c r="Z73" s="180"/>
      <c r="BH73" s="199">
        <v>40510</v>
      </c>
      <c r="BI73" s="199">
        <v>41550</v>
      </c>
      <c r="BJ73" s="199">
        <v>42590</v>
      </c>
      <c r="BK73" s="199">
        <v>43630</v>
      </c>
      <c r="BM73" s="256">
        <v>70</v>
      </c>
      <c r="BN73" s="257" t="s">
        <v>164</v>
      </c>
    </row>
    <row r="74" spans="26:66" ht="12" hidden="1" customHeight="1">
      <c r="Z74" s="180"/>
      <c r="BH74" s="199">
        <v>41550</v>
      </c>
      <c r="BI74" s="199">
        <v>42590</v>
      </c>
      <c r="BJ74" s="199">
        <v>43630</v>
      </c>
      <c r="BK74" s="199">
        <v>44740</v>
      </c>
      <c r="BM74" s="256">
        <v>71</v>
      </c>
      <c r="BN74" s="257" t="s">
        <v>165</v>
      </c>
    </row>
    <row r="75" spans="26:66" ht="12" hidden="1" customHeight="1">
      <c r="Z75" s="180"/>
      <c r="BH75" s="199">
        <v>42590</v>
      </c>
      <c r="BI75" s="199">
        <v>43630</v>
      </c>
      <c r="BJ75" s="199">
        <v>44740</v>
      </c>
      <c r="BK75" s="199">
        <v>45850</v>
      </c>
      <c r="BM75" s="256">
        <v>72</v>
      </c>
      <c r="BN75" s="257" t="s">
        <v>166</v>
      </c>
    </row>
    <row r="76" spans="26:66" ht="12" hidden="1" customHeight="1">
      <c r="Z76" s="180"/>
      <c r="BH76" s="199">
        <v>43630</v>
      </c>
      <c r="BI76" s="199">
        <v>44740</v>
      </c>
      <c r="BJ76" s="199">
        <v>45850</v>
      </c>
      <c r="BK76" s="199">
        <v>46960</v>
      </c>
      <c r="BM76" s="256">
        <v>73</v>
      </c>
      <c r="BN76" s="257" t="s">
        <v>167</v>
      </c>
    </row>
    <row r="77" spans="26:66" ht="12" hidden="1" customHeight="1">
      <c r="Z77" s="180"/>
      <c r="BH77" s="199">
        <v>44740</v>
      </c>
      <c r="BI77" s="199">
        <v>45850</v>
      </c>
      <c r="BJ77" s="199">
        <v>46960</v>
      </c>
      <c r="BK77" s="199">
        <v>48160</v>
      </c>
      <c r="BM77" s="256">
        <v>74</v>
      </c>
      <c r="BN77" s="257" t="s">
        <v>168</v>
      </c>
    </row>
    <row r="78" spans="26:66" ht="12" hidden="1" customHeight="1">
      <c r="Z78" s="180"/>
      <c r="BH78" s="180">
        <v>45850</v>
      </c>
      <c r="BI78" s="199">
        <v>46960</v>
      </c>
      <c r="BJ78" s="180">
        <v>48160</v>
      </c>
      <c r="BK78" s="180">
        <v>49360</v>
      </c>
      <c r="BM78" s="256">
        <v>75</v>
      </c>
      <c r="BN78" s="257" t="s">
        <v>169</v>
      </c>
    </row>
    <row r="79" spans="26:66" ht="12" hidden="1" customHeight="1">
      <c r="Z79" s="180"/>
      <c r="BH79" s="180">
        <v>46960</v>
      </c>
      <c r="BI79" s="180">
        <v>48160</v>
      </c>
      <c r="BJ79" s="180">
        <v>49360</v>
      </c>
      <c r="BK79" s="180">
        <v>50560</v>
      </c>
      <c r="BM79" s="256">
        <v>76</v>
      </c>
      <c r="BN79" s="257" t="s">
        <v>170</v>
      </c>
    </row>
    <row r="80" spans="26:66" ht="12" hidden="1" customHeight="1">
      <c r="Z80" s="180"/>
      <c r="BH80" s="180">
        <v>48160</v>
      </c>
      <c r="BI80" s="180">
        <v>49360</v>
      </c>
      <c r="BJ80" s="180">
        <v>50560</v>
      </c>
      <c r="BK80" s="180">
        <v>51760</v>
      </c>
      <c r="BM80" s="256">
        <v>77</v>
      </c>
      <c r="BN80" s="257" t="s">
        <v>171</v>
      </c>
    </row>
    <row r="81" spans="26:66" ht="12" hidden="1" customHeight="1">
      <c r="Z81" s="180"/>
      <c r="BH81" s="180">
        <v>49360</v>
      </c>
      <c r="BI81" s="180">
        <v>50560</v>
      </c>
      <c r="BJ81" s="180">
        <v>51760</v>
      </c>
      <c r="BK81" s="180">
        <v>53060</v>
      </c>
      <c r="BM81" s="256">
        <v>78</v>
      </c>
      <c r="BN81" s="257" t="s">
        <v>172</v>
      </c>
    </row>
    <row r="82" spans="26:66" ht="12" hidden="1" customHeight="1">
      <c r="Z82" s="180"/>
      <c r="BH82" s="180">
        <v>50560</v>
      </c>
      <c r="BI82" s="180">
        <v>51760</v>
      </c>
      <c r="BJ82" s="180">
        <v>53060</v>
      </c>
      <c r="BK82" s="180">
        <v>54360</v>
      </c>
      <c r="BM82" s="256">
        <v>79</v>
      </c>
      <c r="BN82" s="257" t="s">
        <v>173</v>
      </c>
    </row>
    <row r="83" spans="26:66" ht="12" hidden="1" customHeight="1">
      <c r="Z83" s="180"/>
      <c r="BH83" s="180">
        <v>51760</v>
      </c>
      <c r="BI83" s="180">
        <v>53060</v>
      </c>
      <c r="BJ83" s="180">
        <v>54360</v>
      </c>
      <c r="BK83" s="180">
        <v>55600</v>
      </c>
      <c r="BM83" s="256">
        <v>80</v>
      </c>
      <c r="BN83" s="257" t="s">
        <v>174</v>
      </c>
    </row>
    <row r="84" spans="26:66" ht="12" hidden="1" customHeight="1">
      <c r="Z84" s="180"/>
      <c r="BH84" s="180">
        <v>53060</v>
      </c>
      <c r="BI84" s="180">
        <v>54360</v>
      </c>
      <c r="BJ84" s="180">
        <v>55600</v>
      </c>
      <c r="BK84" s="180">
        <v>0</v>
      </c>
      <c r="BM84" s="256">
        <v>81</v>
      </c>
      <c r="BN84" s="257" t="s">
        <v>175</v>
      </c>
    </row>
    <row r="85" spans="26:66" ht="12" hidden="1" customHeight="1">
      <c r="Z85" s="180"/>
      <c r="BH85" s="180">
        <v>54360</v>
      </c>
      <c r="BI85" s="180">
        <v>55600</v>
      </c>
      <c r="BJ85" s="180">
        <v>0</v>
      </c>
      <c r="BK85" s="180">
        <v>0</v>
      </c>
      <c r="BM85" s="256">
        <v>82</v>
      </c>
      <c r="BN85" s="257" t="s">
        <v>176</v>
      </c>
    </row>
    <row r="86" spans="26:66" ht="12" hidden="1" customHeight="1">
      <c r="Z86" s="180"/>
      <c r="BH86" s="180">
        <v>55600</v>
      </c>
      <c r="BI86" s="180">
        <v>0</v>
      </c>
      <c r="BJ86" s="180">
        <v>0</v>
      </c>
      <c r="BK86" s="180">
        <v>0</v>
      </c>
      <c r="BM86" s="256">
        <v>83</v>
      </c>
      <c r="BN86" s="257" t="s">
        <v>177</v>
      </c>
    </row>
    <row r="87" spans="26:66" ht="12" hidden="1" customHeight="1">
      <c r="Z87" s="180"/>
      <c r="BM87" s="256">
        <v>84</v>
      </c>
      <c r="BN87" s="257" t="s">
        <v>178</v>
      </c>
    </row>
    <row r="88" spans="26:66" ht="12" hidden="1" customHeight="1">
      <c r="Z88" s="180"/>
      <c r="BM88" s="256">
        <v>85</v>
      </c>
      <c r="BN88" s="257" t="s">
        <v>179</v>
      </c>
    </row>
    <row r="89" spans="26:66" ht="12" hidden="1" customHeight="1">
      <c r="Z89" s="180"/>
      <c r="BM89" s="256">
        <v>86</v>
      </c>
      <c r="BN89" s="257" t="s">
        <v>180</v>
      </c>
    </row>
    <row r="90" spans="26:66" ht="12" hidden="1" customHeight="1">
      <c r="Z90" s="180"/>
      <c r="BM90" s="256">
        <v>87</v>
      </c>
      <c r="BN90" s="257" t="s">
        <v>181</v>
      </c>
    </row>
    <row r="91" spans="26:66" ht="12" hidden="1" customHeight="1">
      <c r="Z91" s="180"/>
      <c r="BM91" s="256">
        <v>88</v>
      </c>
      <c r="BN91" s="257" t="s">
        <v>182</v>
      </c>
    </row>
    <row r="92" spans="26:66" ht="12" hidden="1" customHeight="1">
      <c r="Z92" s="180"/>
      <c r="BM92" s="256">
        <v>89</v>
      </c>
      <c r="BN92" s="257" t="s">
        <v>183</v>
      </c>
    </row>
    <row r="93" spans="26:66" ht="12" hidden="1" customHeight="1">
      <c r="Z93" s="180"/>
      <c r="BM93" s="256">
        <v>90</v>
      </c>
      <c r="BN93" s="257" t="s">
        <v>184</v>
      </c>
    </row>
    <row r="94" spans="26:66" ht="12" hidden="1" customHeight="1">
      <c r="Z94" s="180"/>
      <c r="BM94" s="256">
        <v>91</v>
      </c>
      <c r="BN94" s="257" t="s">
        <v>185</v>
      </c>
    </row>
    <row r="95" spans="26:66" ht="12" hidden="1" customHeight="1">
      <c r="Z95" s="180"/>
      <c r="BM95" s="256">
        <v>92</v>
      </c>
      <c r="BN95" s="257" t="s">
        <v>186</v>
      </c>
    </row>
    <row r="96" spans="26:66" ht="12" hidden="1" customHeight="1">
      <c r="Z96" s="180"/>
      <c r="BM96" s="256">
        <v>93</v>
      </c>
      <c r="BN96" s="257" t="s">
        <v>187</v>
      </c>
    </row>
    <row r="97" spans="26:66" ht="12" hidden="1" customHeight="1">
      <c r="Z97" s="180"/>
      <c r="BM97" s="256">
        <v>94</v>
      </c>
      <c r="BN97" s="257" t="s">
        <v>188</v>
      </c>
    </row>
    <row r="98" spans="26:66" ht="12" hidden="1" customHeight="1">
      <c r="Z98" s="180"/>
      <c r="BM98" s="256">
        <v>95</v>
      </c>
      <c r="BN98" s="257" t="s">
        <v>189</v>
      </c>
    </row>
    <row r="99" spans="26:66" ht="12" hidden="1" customHeight="1">
      <c r="Z99" s="180"/>
      <c r="BM99" s="256">
        <v>96</v>
      </c>
      <c r="BN99" s="257" t="s">
        <v>190</v>
      </c>
    </row>
    <row r="100" spans="26:66" ht="12" hidden="1" customHeight="1">
      <c r="Z100" s="180"/>
      <c r="BM100" s="256">
        <v>97</v>
      </c>
      <c r="BN100" s="257" t="s">
        <v>191</v>
      </c>
    </row>
    <row r="101" spans="26:66" ht="12" hidden="1" customHeight="1">
      <c r="Z101" s="180"/>
      <c r="BM101" s="256">
        <v>98</v>
      </c>
      <c r="BN101" s="257" t="s">
        <v>192</v>
      </c>
    </row>
    <row r="102" spans="26:66" ht="12" hidden="1" customHeight="1">
      <c r="Z102" s="180"/>
      <c r="BM102" s="256">
        <v>99</v>
      </c>
      <c r="BN102" s="257" t="s">
        <v>193</v>
      </c>
    </row>
    <row r="103" spans="26:66" ht="12" hidden="1" customHeight="1">
      <c r="Z103" s="180"/>
    </row>
  </sheetData>
  <sheetProtection sheet="1" objects="1" scenarios="1" selectLockedCells="1"/>
  <dataConsolidate/>
  <mergeCells count="58">
    <mergeCell ref="B41:Q41"/>
    <mergeCell ref="H27:I27"/>
    <mergeCell ref="G26:H26"/>
    <mergeCell ref="D28:E28"/>
    <mergeCell ref="F28:H28"/>
    <mergeCell ref="D38:E38"/>
    <mergeCell ref="G38:H38"/>
    <mergeCell ref="G35:H35"/>
    <mergeCell ref="G29:H29"/>
    <mergeCell ref="G30:H30"/>
    <mergeCell ref="D26:E26"/>
    <mergeCell ref="D40:E40"/>
    <mergeCell ref="C37:C38"/>
    <mergeCell ref="D16:I16"/>
    <mergeCell ref="B32:B40"/>
    <mergeCell ref="K32:K40"/>
    <mergeCell ref="G34:H34"/>
    <mergeCell ref="D34:E34"/>
    <mergeCell ref="G33:H33"/>
    <mergeCell ref="D33:E33"/>
    <mergeCell ref="D35:E35"/>
    <mergeCell ref="D39:E39"/>
    <mergeCell ref="D36:E36"/>
    <mergeCell ref="G36:H36"/>
    <mergeCell ref="G39:H39"/>
    <mergeCell ref="D37:E37"/>
    <mergeCell ref="G37:H37"/>
    <mergeCell ref="D25:E25"/>
    <mergeCell ref="G24:I24"/>
    <mergeCell ref="B1:Q1"/>
    <mergeCell ref="D24:F24"/>
    <mergeCell ref="D17:I17"/>
    <mergeCell ref="D18:I18"/>
    <mergeCell ref="D20:I20"/>
    <mergeCell ref="D23:E23"/>
    <mergeCell ref="G22:I22"/>
    <mergeCell ref="D22:E22"/>
    <mergeCell ref="D9:I9"/>
    <mergeCell ref="D19:I19"/>
    <mergeCell ref="B2:B10"/>
    <mergeCell ref="K2:K10"/>
    <mergeCell ref="B12:B20"/>
    <mergeCell ref="K12:K20"/>
    <mergeCell ref="B22:B30"/>
    <mergeCell ref="K22:K30"/>
    <mergeCell ref="D2:I2"/>
    <mergeCell ref="D3:I3"/>
    <mergeCell ref="D12:I12"/>
    <mergeCell ref="D13:I13"/>
    <mergeCell ref="D14:I14"/>
    <mergeCell ref="D6:I6"/>
    <mergeCell ref="D8:I8"/>
    <mergeCell ref="D5:F5"/>
    <mergeCell ref="D15:I15"/>
    <mergeCell ref="D7:I7"/>
    <mergeCell ref="D10:I10"/>
    <mergeCell ref="H4:I4"/>
    <mergeCell ref="D4:G4"/>
  </mergeCells>
  <phoneticPr fontId="9" type="noConversion"/>
  <conditionalFormatting sqref="D29:F30">
    <cfRule type="expression" dxfId="18" priority="141" stopIfTrue="1">
      <formula>$W$9="No"</formula>
    </cfRule>
  </conditionalFormatting>
  <conditionalFormatting sqref="G34 I34">
    <cfRule type="expression" dxfId="17" priority="50" stopIfTrue="1">
      <formula>$F$34="No"</formula>
    </cfRule>
  </conditionalFormatting>
  <conditionalFormatting sqref="G35:I35 G39:H40">
    <cfRule type="expression" dxfId="16" priority="49" stopIfTrue="1">
      <formula>$F$35="No"</formula>
    </cfRule>
  </conditionalFormatting>
  <conditionalFormatting sqref="G33:I33 I38:I40">
    <cfRule type="expression" dxfId="15" priority="45" stopIfTrue="1">
      <formula>$F$33="No"</formula>
    </cfRule>
  </conditionalFormatting>
  <conditionalFormatting sqref="F33 D33">
    <cfRule type="expression" dxfId="14" priority="142" stopIfTrue="1">
      <formula>$C$33="C.P.S."</formula>
    </cfRule>
  </conditionalFormatting>
  <conditionalFormatting sqref="F23:I23">
    <cfRule type="expression" dxfId="13" priority="143" stopIfTrue="1">
      <formula>$D$23="No"</formula>
    </cfRule>
  </conditionalFormatting>
  <conditionalFormatting sqref="D25">
    <cfRule type="expression" dxfId="12" priority="30" stopIfTrue="1">
      <formula>$C$33="C.P.S."</formula>
    </cfRule>
  </conditionalFormatting>
  <conditionalFormatting sqref="G25:I25">
    <cfRule type="expression" dxfId="11" priority="24" stopIfTrue="1">
      <formula>$W$9="No"</formula>
    </cfRule>
  </conditionalFormatting>
  <conditionalFormatting sqref="F25:I25">
    <cfRule type="expression" dxfId="10" priority="15">
      <formula>$D$25="No"</formula>
    </cfRule>
  </conditionalFormatting>
  <conditionalFormatting sqref="D24:I24">
    <cfRule type="expression" dxfId="9" priority="14">
      <formula>$D$23="No"</formula>
    </cfRule>
  </conditionalFormatting>
  <conditionalFormatting sqref="C24">
    <cfRule type="expression" dxfId="8" priority="13">
      <formula>$D$23="No"</formula>
    </cfRule>
  </conditionalFormatting>
  <conditionalFormatting sqref="D26">
    <cfRule type="expression" dxfId="7" priority="11" stopIfTrue="1">
      <formula>$C$33="C.P.S."</formula>
    </cfRule>
  </conditionalFormatting>
  <conditionalFormatting sqref="F26:I26">
    <cfRule type="expression" dxfId="6" priority="10">
      <formula>$D$26="No"</formula>
    </cfRule>
  </conditionalFormatting>
  <conditionalFormatting sqref="G27:I27">
    <cfRule type="expression" dxfId="5" priority="144">
      <formula>$F$27="No"</formula>
    </cfRule>
  </conditionalFormatting>
  <conditionalFormatting sqref="G36:I36">
    <cfRule type="expression" dxfId="4" priority="7">
      <formula>$F$36="No"</formula>
    </cfRule>
  </conditionalFormatting>
  <conditionalFormatting sqref="G30:I30">
    <cfRule type="expression" dxfId="3" priority="4">
      <formula>$C$30=""</formula>
    </cfRule>
  </conditionalFormatting>
  <conditionalFormatting sqref="D33:I33">
    <cfRule type="expression" dxfId="2" priority="3">
      <formula>$C$33="C.P.S."</formula>
    </cfRule>
  </conditionalFormatting>
  <conditionalFormatting sqref="D38:H38">
    <cfRule type="expression" dxfId="1" priority="2">
      <formula>$I$37="No"</formula>
    </cfRule>
  </conditionalFormatting>
  <conditionalFormatting sqref="F37:I37">
    <cfRule type="expression" dxfId="0" priority="1">
      <formula>$D$37=0</formula>
    </cfRule>
  </conditionalFormatting>
  <dataValidations count="26">
    <dataValidation type="whole" operator="greaterThanOrEqual" allowBlank="1" showInputMessage="1" showErrorMessage="1" sqref="D36:E36 I33:I34 M22 Q2:Q40">
      <formula1>0</formula1>
    </dataValidation>
    <dataValidation type="textLength" operator="equal" allowBlank="1" showInputMessage="1" showErrorMessage="1" sqref="D15:I16 D5">
      <formula1>10</formula1>
    </dataValidation>
    <dataValidation type="textLength" operator="greaterThan" allowBlank="1" showInputMessage="1" showErrorMessage="1" sqref="D12:I13">
      <formula1>5</formula1>
    </dataValidation>
    <dataValidation type="list" allowBlank="1" showInputMessage="1" showErrorMessage="1" sqref="D23 I29:I30 F27 D27 D25 D26:E26 F32:F36 I37">
      <formula1>YN</formula1>
    </dataValidation>
    <dataValidation type="list" allowBlank="1" showInputMessage="1" showErrorMessage="1" sqref="I23 F29 I25">
      <formula1>YY</formula1>
    </dataValidation>
    <dataValidation type="list" allowBlank="1" showInputMessage="1" showErrorMessage="1" sqref="G23 G5 G25 D29:D30 E30">
      <formula1>DD</formula1>
    </dataValidation>
    <dataValidation type="list" allowBlank="1" showInputMessage="1" showErrorMessage="1" sqref="E29 H23 H25 H5">
      <formula1>MM</formula1>
    </dataValidation>
    <dataValidation type="list" allowBlank="1" showInputMessage="1" showErrorMessage="1" sqref="G29:G30">
      <formula1>HRA</formula1>
    </dataValidation>
    <dataValidation operator="greaterThan" allowBlank="1" showInputMessage="1" showErrorMessage="1" prompt="Surname Firstname Middlename&#10;" sqref="D2:I3"/>
    <dataValidation type="list" allowBlank="1" showInputMessage="1" showErrorMessage="1" sqref="G24">
      <formula1>option</formula1>
    </dataValidation>
    <dataValidation type="list" allowBlank="1" showInputMessage="1" showErrorMessage="1" sqref="C33">
      <formula1>$BB$28:$BB$30</formula1>
    </dataValidation>
    <dataValidation allowBlank="1" showInputMessage="1" showErrorMessage="1" prompt="P.P. + F.P." sqref="F22"/>
    <dataValidation type="list" allowBlank="1" showInputMessage="1" showErrorMessage="1" sqref="D22">
      <formula1>BPay</formula1>
    </dataValidation>
    <dataValidation type="list" allowBlank="1" showInputMessage="1" showErrorMessage="1" sqref="D24">
      <formula1>Scales</formula1>
    </dataValidation>
    <dataValidation type="list" allowBlank="1" showInputMessage="1" showErrorMessage="1" sqref="W27">
      <formula1>$BB$6:$BB$8</formula1>
    </dataValidation>
    <dataValidation type="list" operator="lessThanOrEqual" allowBlank="1" showInputMessage="1" showErrorMessage="1" sqref="F28">
      <formula1>$AW$2:$AZ$2</formula1>
    </dataValidation>
    <dataValidation type="whole" operator="greaterThanOrEqual" allowBlank="1" showInputMessage="1" showErrorMessage="1" error="Enter a Number" sqref="D33:E34 M23:M30 M12 M2:M5">
      <formula1>0</formula1>
    </dataValidation>
    <dataValidation type="list" allowBlank="1" showInputMessage="1" showErrorMessage="1" sqref="G22">
      <formula1>$BD$3:$BD$15</formula1>
    </dataValidation>
    <dataValidation type="list" allowBlank="1" showInputMessage="1" showErrorMessage="1" sqref="H27">
      <formula1>$AW$22:$AY$22</formula1>
    </dataValidation>
    <dataValidation type="list" allowBlank="1" showInputMessage="1" showErrorMessage="1" sqref="H4:I4">
      <formula1>$BA$23:$BA$24</formula1>
    </dataValidation>
    <dataValidation type="list" allowBlank="1" showInputMessage="1" showErrorMessage="1" sqref="I5">
      <formula1>YOB</formula1>
    </dataValidation>
    <dataValidation type="list" allowBlank="1" showInputMessage="1" showErrorMessage="1" sqref="G26:H26">
      <formula1>FinYear</formula1>
    </dataValidation>
    <dataValidation type="list" allowBlank="1" showInputMessage="1" showErrorMessage="1" sqref="I26">
      <formula1>$BA$3:$BA$4</formula1>
    </dataValidation>
    <dataValidation type="list" operator="greaterThanOrEqual" allowBlank="1" showInputMessage="1" showErrorMessage="1" sqref="G32:H38">
      <formula1>FinYear</formula1>
    </dataValidation>
    <dataValidation type="list" allowBlank="1" showInputMessage="1" showErrorMessage="1" sqref="I35 D35:E35">
      <formula1>$BB$11:$BB$15</formula1>
    </dataValidation>
    <dataValidation type="list" allowBlank="1" showInputMessage="1" showErrorMessage="1" sqref="P10:P14">
      <formula1>$U$29:$U$33</formula1>
    </dataValidation>
  </dataValidations>
  <hyperlinks>
    <hyperlink ref="B41" r:id="rId1"/>
  </hyperlinks>
  <printOptions horizontalCentered="1" verticalCentered="1"/>
  <pageMargins left="0.23622047244094491" right="0.23622047244094491" top="0.35433070866141736" bottom="0.34" header="0.19685039370078741" footer="0.21"/>
  <pageSetup paperSize="9" orientation="landscape" horizontalDpi="300" verticalDpi="300" r:id="rId2"/>
  <ignoredErrors>
    <ignoredError sqref="M27" formulaRange="1"/>
  </ignoredErrors>
</worksheet>
</file>

<file path=xl/worksheets/sheet3.xml><?xml version="1.0" encoding="utf-8"?>
<worksheet xmlns="http://schemas.openxmlformats.org/spreadsheetml/2006/main" xmlns:r="http://schemas.openxmlformats.org/officeDocument/2006/relationships">
  <sheetPr codeName="Sheet3"/>
  <dimension ref="A1:IW32"/>
  <sheetViews>
    <sheetView showGridLines="0" topLeftCell="A17" workbookViewId="0">
      <selection activeCell="A4" sqref="A4:A5"/>
    </sheetView>
  </sheetViews>
  <sheetFormatPr defaultColWidth="0" defaultRowHeight="27.95" customHeight="1" zeroHeight="1"/>
  <cols>
    <col min="1" max="1" width="7.5703125" style="6" customWidth="1"/>
    <col min="2" max="2" width="7.85546875" style="1" bestFit="1" customWidth="1"/>
    <col min="3" max="3" width="6.5703125" style="1" bestFit="1" customWidth="1"/>
    <col min="4" max="4" width="7.85546875" style="1" bestFit="1" customWidth="1"/>
    <col min="5" max="5" width="6.42578125" style="1" customWidth="1"/>
    <col min="6" max="6" width="6.5703125" style="1" bestFit="1" customWidth="1"/>
    <col min="7" max="7" width="6.42578125" style="1" customWidth="1"/>
    <col min="8" max="8" width="7.85546875" style="1" bestFit="1" customWidth="1"/>
    <col min="9" max="9" width="6.28515625" style="1" customWidth="1"/>
    <col min="10" max="10" width="6.5703125" style="1" customWidth="1"/>
    <col min="11" max="11" width="6.28515625" style="1" customWidth="1"/>
    <col min="12" max="13" width="5.7109375" style="1" customWidth="1"/>
    <col min="14" max="14" width="6.28515625" style="1" customWidth="1"/>
    <col min="15" max="15" width="9.140625" style="78" hidden="1" customWidth="1"/>
    <col min="16" max="16" width="0.140625" style="1" customWidth="1"/>
    <col min="17" max="23" width="9.140625" style="1" hidden="1" customWidth="1"/>
    <col min="24" max="24" width="9" style="1" hidden="1" customWidth="1"/>
    <col min="25" max="16384" width="0" style="1" hidden="1"/>
  </cols>
  <sheetData>
    <row r="1" spans="1:16" ht="25.5" customHeight="1">
      <c r="A1" s="404" t="str">
        <f>"DETAILS OF INCOME DURING THE YEAR "&amp;Data!Y3</f>
        <v>DETAILS OF INCOME DURING THE YEAR 2013-14</v>
      </c>
      <c r="B1" s="404"/>
      <c r="C1" s="404"/>
      <c r="D1" s="404"/>
      <c r="E1" s="404"/>
      <c r="F1" s="404"/>
      <c r="G1" s="404"/>
      <c r="H1" s="404"/>
      <c r="I1" s="404"/>
      <c r="J1" s="404"/>
      <c r="K1" s="404"/>
      <c r="L1" s="404"/>
      <c r="M1" s="404"/>
      <c r="N1" s="404"/>
      <c r="O1" s="75"/>
    </row>
    <row r="2" spans="1:16" s="65" customFormat="1" ht="18" customHeight="1">
      <c r="A2" s="398" t="str">
        <f>'Table-2'!A2:O2</f>
        <v>( From 01-03-2013 to 28-02-2014 )</v>
      </c>
      <c r="B2" s="398"/>
      <c r="C2" s="398"/>
      <c r="D2" s="398"/>
      <c r="E2" s="398"/>
      <c r="F2" s="398"/>
      <c r="G2" s="398"/>
      <c r="H2" s="398"/>
      <c r="I2" s="398"/>
      <c r="J2" s="398"/>
      <c r="K2" s="398"/>
      <c r="L2" s="398"/>
      <c r="M2" s="398"/>
      <c r="N2" s="398"/>
      <c r="O2" s="76"/>
    </row>
    <row r="3" spans="1:16" ht="18" customHeight="1">
      <c r="A3" s="89" t="str">
        <f>'Table-2'!A3</f>
        <v>Name: Sri Nainala Srinivas</v>
      </c>
      <c r="B3" s="74"/>
      <c r="C3" s="90"/>
      <c r="D3" s="90"/>
      <c r="E3" s="90"/>
      <c r="F3" s="90"/>
      <c r="G3" s="90"/>
      <c r="H3" s="90"/>
      <c r="I3" s="90"/>
      <c r="J3" s="90"/>
      <c r="K3" s="91"/>
      <c r="L3" s="90"/>
      <c r="M3" s="90"/>
      <c r="N3" s="92" t="str">
        <f>"Desig: "&amp;Data!D4</f>
        <v>Desig: S.A.(Math's)</v>
      </c>
    </row>
    <row r="4" spans="1:16" s="86" customFormat="1" ht="18" customHeight="1">
      <c r="A4" s="400" t="str">
        <f>'Table-2'!A4:A5</f>
        <v>Month</v>
      </c>
      <c r="B4" s="400" t="str">
        <f>'Table-2'!B4:B5</f>
        <v>Pay</v>
      </c>
      <c r="C4" s="400" t="str">
        <f>'Table-2'!C4:C5</f>
        <v>PP +FP</v>
      </c>
      <c r="D4" s="400" t="str">
        <f>'Table-2'!D4:D5</f>
        <v>DA</v>
      </c>
      <c r="E4" s="400" t="s">
        <v>728</v>
      </c>
      <c r="F4" s="400" t="str">
        <f>'Table-2'!F4:F5</f>
        <v>HRA</v>
      </c>
      <c r="G4" s="400" t="str">
        <f>'Table-2'!G4:G5</f>
        <v>CCA</v>
      </c>
      <c r="H4" s="400" t="str">
        <f>'Table-2'!J4:J5</f>
        <v>Total</v>
      </c>
      <c r="I4" s="405" t="s">
        <v>43</v>
      </c>
      <c r="J4" s="406"/>
      <c r="K4" s="406"/>
      <c r="L4" s="406"/>
      <c r="M4" s="407"/>
      <c r="N4" s="400" t="str">
        <f>'Table-2'!O5</f>
        <v>IT</v>
      </c>
      <c r="O4" s="84"/>
      <c r="P4" s="85"/>
    </row>
    <row r="5" spans="1:16" s="88" customFormat="1" ht="27.95" customHeight="1">
      <c r="A5" s="401"/>
      <c r="B5" s="401"/>
      <c r="C5" s="401"/>
      <c r="D5" s="401"/>
      <c r="E5" s="401"/>
      <c r="F5" s="401"/>
      <c r="G5" s="401"/>
      <c r="H5" s="401"/>
      <c r="I5" s="82" t="str">
        <f>'Table-2'!K5</f>
        <v>Z.P.P.F.</v>
      </c>
      <c r="J5" s="82" t="str">
        <f>'Table-2'!L5</f>
        <v>APGLI</v>
      </c>
      <c r="K5" s="82" t="str">
        <f>'Table-2'!M5</f>
        <v>GIS</v>
      </c>
      <c r="L5" s="82" t="s">
        <v>229</v>
      </c>
      <c r="M5" s="83" t="str">
        <f>'Table-2'!N5</f>
        <v>PT</v>
      </c>
      <c r="N5" s="401"/>
      <c r="O5" s="87"/>
    </row>
    <row r="6" spans="1:16" s="5" customFormat="1" ht="14.1" customHeight="1">
      <c r="A6" s="70"/>
      <c r="B6" s="93" t="s">
        <v>45</v>
      </c>
      <c r="C6" s="93" t="s">
        <v>45</v>
      </c>
      <c r="D6" s="93" t="s">
        <v>45</v>
      </c>
      <c r="E6" s="93" t="s">
        <v>45</v>
      </c>
      <c r="F6" s="93" t="s">
        <v>45</v>
      </c>
      <c r="G6" s="93" t="s">
        <v>45</v>
      </c>
      <c r="H6" s="93" t="s">
        <v>45</v>
      </c>
      <c r="I6" s="93" t="s">
        <v>45</v>
      </c>
      <c r="J6" s="93" t="s">
        <v>45</v>
      </c>
      <c r="K6" s="93" t="s">
        <v>45</v>
      </c>
      <c r="L6" s="93" t="s">
        <v>45</v>
      </c>
      <c r="M6" s="93" t="s">
        <v>45</v>
      </c>
      <c r="N6" s="93" t="s">
        <v>45</v>
      </c>
      <c r="O6" s="77"/>
    </row>
    <row r="7" spans="1:16" ht="19.5" customHeight="1">
      <c r="A7" s="57">
        <f>'Table-2'!A7</f>
        <v>41334</v>
      </c>
      <c r="B7" s="66">
        <f>'Table-2'!B7</f>
        <v>17540</v>
      </c>
      <c r="C7" s="66">
        <f>'Table-2'!C7</f>
        <v>0</v>
      </c>
      <c r="D7" s="66">
        <f>'Table-2'!D7</f>
        <v>8408</v>
      </c>
      <c r="E7" s="66">
        <f>'Table-2'!E7</f>
        <v>0</v>
      </c>
      <c r="F7" s="66">
        <f>'Table-2'!F7</f>
        <v>2105</v>
      </c>
      <c r="G7" s="66">
        <f>'Table-2'!G7</f>
        <v>0</v>
      </c>
      <c r="H7" s="66">
        <f t="shared" ref="H7:H22" si="0">SUM(B7:G7)</f>
        <v>28053</v>
      </c>
      <c r="I7" s="66">
        <f>'Table-2'!K7</f>
        <v>2000</v>
      </c>
      <c r="J7" s="66">
        <f>'Table-2'!L7</f>
        <v>1000</v>
      </c>
      <c r="K7" s="66">
        <f>'Table-2'!M7</f>
        <v>60</v>
      </c>
      <c r="L7" s="66">
        <v>0</v>
      </c>
      <c r="M7" s="66">
        <f>'Table-2'!N7</f>
        <v>200</v>
      </c>
      <c r="N7" s="66">
        <f>'Table-2'!O7</f>
        <v>0</v>
      </c>
    </row>
    <row r="8" spans="1:16" ht="19.5" customHeight="1">
      <c r="A8" s="57">
        <f>'Table-2'!A8</f>
        <v>41365</v>
      </c>
      <c r="B8" s="66">
        <f>'Table-2'!B8</f>
        <v>17540</v>
      </c>
      <c r="C8" s="66">
        <f>'Table-2'!C8</f>
        <v>0</v>
      </c>
      <c r="D8" s="66">
        <f>'Table-2'!D8</f>
        <v>8408</v>
      </c>
      <c r="E8" s="66">
        <f>'Table-2'!E8</f>
        <v>0</v>
      </c>
      <c r="F8" s="66">
        <f>'Table-2'!F8</f>
        <v>2105</v>
      </c>
      <c r="G8" s="66">
        <f>'Table-2'!G8</f>
        <v>0</v>
      </c>
      <c r="H8" s="66">
        <f t="shared" si="0"/>
        <v>28053</v>
      </c>
      <c r="I8" s="66">
        <f>'Table-2'!K8</f>
        <v>2000</v>
      </c>
      <c r="J8" s="66">
        <f>'Table-2'!L8</f>
        <v>1000</v>
      </c>
      <c r="K8" s="66">
        <f>'Table-2'!M8</f>
        <v>60</v>
      </c>
      <c r="L8" s="66">
        <v>0</v>
      </c>
      <c r="M8" s="66">
        <f>'Table-2'!N8</f>
        <v>200</v>
      </c>
      <c r="N8" s="66">
        <f>'Table-2'!O8</f>
        <v>0</v>
      </c>
    </row>
    <row r="9" spans="1:16" ht="19.5" customHeight="1">
      <c r="A9" s="57">
        <f>'Table-2'!A9</f>
        <v>41395</v>
      </c>
      <c r="B9" s="66">
        <f>'Table-2'!B9</f>
        <v>17540</v>
      </c>
      <c r="C9" s="66">
        <f>'Table-2'!C9</f>
        <v>0</v>
      </c>
      <c r="D9" s="66">
        <f>'Table-2'!D9</f>
        <v>9609</v>
      </c>
      <c r="E9" s="66">
        <f>'Table-2'!E9</f>
        <v>0</v>
      </c>
      <c r="F9" s="66">
        <f>'Table-2'!F9</f>
        <v>2105</v>
      </c>
      <c r="G9" s="66">
        <f>'Table-2'!G9</f>
        <v>0</v>
      </c>
      <c r="H9" s="66">
        <f t="shared" si="0"/>
        <v>29254</v>
      </c>
      <c r="I9" s="66">
        <f>'Table-2'!K9</f>
        <v>2000</v>
      </c>
      <c r="J9" s="66">
        <f>'Table-2'!L9</f>
        <v>1000</v>
      </c>
      <c r="K9" s="66">
        <f>'Table-2'!M9</f>
        <v>60</v>
      </c>
      <c r="L9" s="66">
        <v>0</v>
      </c>
      <c r="M9" s="66">
        <f>'Table-2'!N9</f>
        <v>200</v>
      </c>
      <c r="N9" s="66">
        <f>'Table-2'!O9</f>
        <v>0</v>
      </c>
    </row>
    <row r="10" spans="1:16" ht="19.5" customHeight="1">
      <c r="A10" s="57">
        <f>'Table-2'!A10</f>
        <v>41426</v>
      </c>
      <c r="B10" s="66">
        <f>'Table-2'!B10</f>
        <v>17540</v>
      </c>
      <c r="C10" s="66">
        <f>'Table-2'!C10</f>
        <v>0</v>
      </c>
      <c r="D10" s="66">
        <f>'Table-2'!D10</f>
        <v>9609</v>
      </c>
      <c r="E10" s="66">
        <f>'Table-2'!E10</f>
        <v>0</v>
      </c>
      <c r="F10" s="66">
        <f>'Table-2'!F10</f>
        <v>2105</v>
      </c>
      <c r="G10" s="66">
        <f>'Table-2'!G10</f>
        <v>0</v>
      </c>
      <c r="H10" s="66">
        <f t="shared" si="0"/>
        <v>29254</v>
      </c>
      <c r="I10" s="66">
        <f>'Table-2'!K10</f>
        <v>2000</v>
      </c>
      <c r="J10" s="66">
        <f>'Table-2'!L10</f>
        <v>1000</v>
      </c>
      <c r="K10" s="66">
        <f>'Table-2'!M10</f>
        <v>60</v>
      </c>
      <c r="L10" s="66">
        <v>0</v>
      </c>
      <c r="M10" s="66">
        <f>'Table-2'!N10</f>
        <v>200</v>
      </c>
      <c r="N10" s="66">
        <f>'Table-2'!O10</f>
        <v>0</v>
      </c>
    </row>
    <row r="11" spans="1:16" ht="19.5" customHeight="1">
      <c r="A11" s="57">
        <f>'Table-2'!A11</f>
        <v>41456</v>
      </c>
      <c r="B11" s="66">
        <f>'Table-2'!B11</f>
        <v>17540</v>
      </c>
      <c r="C11" s="66">
        <f>'Table-2'!C11</f>
        <v>0</v>
      </c>
      <c r="D11" s="66">
        <f>'Table-2'!D11</f>
        <v>9609</v>
      </c>
      <c r="E11" s="66">
        <f>'Table-2'!E11</f>
        <v>0</v>
      </c>
      <c r="F11" s="66">
        <f>'Table-2'!F11</f>
        <v>2105</v>
      </c>
      <c r="G11" s="66">
        <f>'Table-2'!G11</f>
        <v>0</v>
      </c>
      <c r="H11" s="66">
        <f t="shared" si="0"/>
        <v>29254</v>
      </c>
      <c r="I11" s="66">
        <f>'Table-2'!K11</f>
        <v>2000</v>
      </c>
      <c r="J11" s="66">
        <f>'Table-2'!L11</f>
        <v>1000</v>
      </c>
      <c r="K11" s="66">
        <f>'Table-2'!M11</f>
        <v>60</v>
      </c>
      <c r="L11" s="66">
        <v>0</v>
      </c>
      <c r="M11" s="66">
        <f>'Table-2'!N11</f>
        <v>200</v>
      </c>
      <c r="N11" s="66">
        <f>'Table-2'!O11</f>
        <v>0</v>
      </c>
    </row>
    <row r="12" spans="1:16" ht="19.5" customHeight="1">
      <c r="A12" s="57">
        <f>'Table-2'!A12</f>
        <v>41487</v>
      </c>
      <c r="B12" s="66">
        <f>'Table-2'!B12</f>
        <v>17540</v>
      </c>
      <c r="C12" s="66">
        <f>'Table-2'!C12</f>
        <v>0</v>
      </c>
      <c r="D12" s="66">
        <f>'Table-2'!D12</f>
        <v>9609</v>
      </c>
      <c r="E12" s="66">
        <f>'Table-2'!E12</f>
        <v>0</v>
      </c>
      <c r="F12" s="66">
        <f>'Table-2'!F12</f>
        <v>2105</v>
      </c>
      <c r="G12" s="66">
        <f>'Table-2'!G12</f>
        <v>0</v>
      </c>
      <c r="H12" s="66">
        <f t="shared" si="0"/>
        <v>29254</v>
      </c>
      <c r="I12" s="66">
        <f>'Table-2'!K12</f>
        <v>2000</v>
      </c>
      <c r="J12" s="66">
        <f>'Table-2'!L12</f>
        <v>1000</v>
      </c>
      <c r="K12" s="66">
        <f>'Table-2'!M12</f>
        <v>60</v>
      </c>
      <c r="L12" s="66">
        <v>0</v>
      </c>
      <c r="M12" s="66">
        <f>'Table-2'!N12</f>
        <v>200</v>
      </c>
      <c r="N12" s="66">
        <f>'Table-2'!O12</f>
        <v>0</v>
      </c>
    </row>
    <row r="13" spans="1:16" ht="19.5" customHeight="1">
      <c r="A13" s="57">
        <f>'Table-2'!A13</f>
        <v>41518</v>
      </c>
      <c r="B13" s="66">
        <f>'Table-2'!B13</f>
        <v>17540</v>
      </c>
      <c r="C13" s="66">
        <f>'Table-2'!C13</f>
        <v>0</v>
      </c>
      <c r="D13" s="66">
        <f>'Table-2'!D13</f>
        <v>9609</v>
      </c>
      <c r="E13" s="66">
        <f>'Table-2'!E13</f>
        <v>0</v>
      </c>
      <c r="F13" s="66">
        <f>'Table-2'!F13</f>
        <v>2105</v>
      </c>
      <c r="G13" s="66">
        <f>'Table-2'!G13</f>
        <v>0</v>
      </c>
      <c r="H13" s="66">
        <f t="shared" si="0"/>
        <v>29254</v>
      </c>
      <c r="I13" s="66">
        <f>'Table-2'!K13</f>
        <v>2000</v>
      </c>
      <c r="J13" s="66">
        <f>'Table-2'!L13</f>
        <v>1000</v>
      </c>
      <c r="K13" s="66">
        <f>'Table-2'!M13</f>
        <v>60</v>
      </c>
      <c r="L13" s="66">
        <v>0</v>
      </c>
      <c r="M13" s="66">
        <f>'Table-2'!N13</f>
        <v>200</v>
      </c>
      <c r="N13" s="66">
        <f>'Table-2'!O13</f>
        <v>0</v>
      </c>
    </row>
    <row r="14" spans="1:16" ht="19.5" customHeight="1">
      <c r="A14" s="57">
        <f>'Table-2'!A14</f>
        <v>41548</v>
      </c>
      <c r="B14" s="66">
        <f>'Table-2'!B14</f>
        <v>18030</v>
      </c>
      <c r="C14" s="66">
        <f>'Table-2'!C14</f>
        <v>0</v>
      </c>
      <c r="D14" s="66">
        <f>'Table-2'!D14</f>
        <v>11421</v>
      </c>
      <c r="E14" s="66">
        <f>'Table-2'!E14</f>
        <v>0</v>
      </c>
      <c r="F14" s="66">
        <f>'Table-2'!F14</f>
        <v>2164</v>
      </c>
      <c r="G14" s="66">
        <f>'Table-2'!G14</f>
        <v>0</v>
      </c>
      <c r="H14" s="66">
        <f t="shared" si="0"/>
        <v>31615</v>
      </c>
      <c r="I14" s="66">
        <f>'Table-2'!K14</f>
        <v>2000</v>
      </c>
      <c r="J14" s="66">
        <f>'Table-2'!L14</f>
        <v>1000</v>
      </c>
      <c r="K14" s="66">
        <f>'Table-2'!M14</f>
        <v>60</v>
      </c>
      <c r="L14" s="66">
        <v>0</v>
      </c>
      <c r="M14" s="66">
        <f>'Table-2'!N14</f>
        <v>200</v>
      </c>
      <c r="N14" s="66">
        <f>'Table-2'!O14</f>
        <v>0</v>
      </c>
    </row>
    <row r="15" spans="1:16" ht="19.5" customHeight="1">
      <c r="A15" s="57">
        <f>'Table-2'!A15</f>
        <v>41579</v>
      </c>
      <c r="B15" s="66">
        <f>'Table-2'!B15</f>
        <v>18030</v>
      </c>
      <c r="C15" s="66">
        <f>'Table-2'!C15</f>
        <v>0</v>
      </c>
      <c r="D15" s="66">
        <f>'Table-2'!D15</f>
        <v>11421</v>
      </c>
      <c r="E15" s="66">
        <f>'Table-2'!E15</f>
        <v>0</v>
      </c>
      <c r="F15" s="66">
        <f>'Table-2'!F15</f>
        <v>2164</v>
      </c>
      <c r="G15" s="66">
        <f>'Table-2'!G15</f>
        <v>0</v>
      </c>
      <c r="H15" s="66">
        <f t="shared" si="0"/>
        <v>31615</v>
      </c>
      <c r="I15" s="66">
        <f>'Table-2'!K15</f>
        <v>2000</v>
      </c>
      <c r="J15" s="66">
        <f>'Table-2'!L15</f>
        <v>1000</v>
      </c>
      <c r="K15" s="66">
        <f>'Table-2'!M15</f>
        <v>60</v>
      </c>
      <c r="L15" s="66">
        <v>0</v>
      </c>
      <c r="M15" s="66">
        <f>'Table-2'!N15</f>
        <v>200</v>
      </c>
      <c r="N15" s="66">
        <f>'Table-2'!O15</f>
        <v>0</v>
      </c>
    </row>
    <row r="16" spans="1:16" ht="19.5" customHeight="1">
      <c r="A16" s="57">
        <f>'Table-2'!A16</f>
        <v>41609</v>
      </c>
      <c r="B16" s="66">
        <f>'Table-2'!B16</f>
        <v>18030</v>
      </c>
      <c r="C16" s="66">
        <f>'Table-2'!C16</f>
        <v>0</v>
      </c>
      <c r="D16" s="66">
        <f>'Table-2'!D16</f>
        <v>11421</v>
      </c>
      <c r="E16" s="66">
        <f>'Table-2'!E16</f>
        <v>0</v>
      </c>
      <c r="F16" s="66">
        <f>'Table-2'!F16</f>
        <v>2164</v>
      </c>
      <c r="G16" s="66">
        <f>'Table-2'!G16</f>
        <v>0</v>
      </c>
      <c r="H16" s="66">
        <f t="shared" si="0"/>
        <v>31615</v>
      </c>
      <c r="I16" s="66">
        <f>'Table-2'!K16</f>
        <v>2000</v>
      </c>
      <c r="J16" s="66">
        <f>'Table-2'!L16</f>
        <v>1000</v>
      </c>
      <c r="K16" s="66">
        <f>'Table-2'!M16</f>
        <v>60</v>
      </c>
      <c r="L16" s="66">
        <v>0</v>
      </c>
      <c r="M16" s="66">
        <f>'Table-2'!N16</f>
        <v>200</v>
      </c>
      <c r="N16" s="66">
        <f>'Table-2'!O16</f>
        <v>0</v>
      </c>
    </row>
    <row r="17" spans="1:257" ht="19.5" customHeight="1">
      <c r="A17" s="57">
        <f>'Table-2'!A17</f>
        <v>41640</v>
      </c>
      <c r="B17" s="66">
        <f>'Table-2'!B17</f>
        <v>18030</v>
      </c>
      <c r="C17" s="66">
        <f>'Table-2'!C17</f>
        <v>0</v>
      </c>
      <c r="D17" s="66">
        <f>'Table-2'!D17</f>
        <v>11421</v>
      </c>
      <c r="E17" s="66">
        <f>'Table-2'!E17</f>
        <v>4868</v>
      </c>
      <c r="F17" s="66">
        <f>'Table-2'!F17</f>
        <v>2164</v>
      </c>
      <c r="G17" s="66">
        <f>'Table-2'!G17</f>
        <v>0</v>
      </c>
      <c r="H17" s="66">
        <f t="shared" si="0"/>
        <v>36483</v>
      </c>
      <c r="I17" s="66">
        <f>'Table-2'!K17</f>
        <v>2000</v>
      </c>
      <c r="J17" s="66">
        <f>'Table-2'!L17</f>
        <v>1000</v>
      </c>
      <c r="K17" s="66">
        <f>'Table-2'!M17</f>
        <v>60</v>
      </c>
      <c r="L17" s="66">
        <v>0</v>
      </c>
      <c r="M17" s="66">
        <f>'Table-2'!N17</f>
        <v>200</v>
      </c>
      <c r="N17" s="66">
        <f>'Table-2'!O17</f>
        <v>2500</v>
      </c>
    </row>
    <row r="18" spans="1:257" ht="19.5" customHeight="1">
      <c r="A18" s="57">
        <f>'Table-2'!A18</f>
        <v>41671</v>
      </c>
      <c r="B18" s="66">
        <f>'Table-2'!B18</f>
        <v>18030</v>
      </c>
      <c r="C18" s="66">
        <f>'Table-2'!C18</f>
        <v>0</v>
      </c>
      <c r="D18" s="66">
        <f>'Table-2'!D18</f>
        <v>11421</v>
      </c>
      <c r="E18" s="66">
        <f>'Table-2'!E18</f>
        <v>4868</v>
      </c>
      <c r="F18" s="66">
        <f>'Table-2'!F18</f>
        <v>2164</v>
      </c>
      <c r="G18" s="66">
        <f>'Table-2'!G18</f>
        <v>0</v>
      </c>
      <c r="H18" s="66">
        <f t="shared" si="0"/>
        <v>36483</v>
      </c>
      <c r="I18" s="66">
        <f>'Table-2'!K18</f>
        <v>2000</v>
      </c>
      <c r="J18" s="66">
        <f>'Table-2'!L18</f>
        <v>1000</v>
      </c>
      <c r="K18" s="66">
        <f>'Table-2'!M18</f>
        <v>60</v>
      </c>
      <c r="L18" s="66">
        <v>0</v>
      </c>
      <c r="M18" s="66">
        <f>'Table-2'!N18</f>
        <v>200</v>
      </c>
      <c r="N18" s="66">
        <f>'Table-2'!O18</f>
        <v>2270</v>
      </c>
    </row>
    <row r="19" spans="1:257" s="2" customFormat="1" ht="21.75" customHeight="1" thickBot="1">
      <c r="A19" s="67" t="s">
        <v>14</v>
      </c>
      <c r="B19" s="68">
        <f t="shared" ref="B19:N19" si="1">SUM(B7:B18)</f>
        <v>212930</v>
      </c>
      <c r="C19" s="68">
        <f t="shared" si="1"/>
        <v>0</v>
      </c>
      <c r="D19" s="68">
        <f t="shared" si="1"/>
        <v>121966</v>
      </c>
      <c r="E19" s="68">
        <f t="shared" si="1"/>
        <v>9736</v>
      </c>
      <c r="F19" s="68">
        <f t="shared" si="1"/>
        <v>25555</v>
      </c>
      <c r="G19" s="68">
        <f t="shared" si="1"/>
        <v>0</v>
      </c>
      <c r="H19" s="68">
        <f t="shared" si="1"/>
        <v>370187</v>
      </c>
      <c r="I19" s="68">
        <f t="shared" si="1"/>
        <v>24000</v>
      </c>
      <c r="J19" s="68">
        <f t="shared" si="1"/>
        <v>12000</v>
      </c>
      <c r="K19" s="68">
        <f t="shared" si="1"/>
        <v>720</v>
      </c>
      <c r="L19" s="68">
        <f t="shared" si="1"/>
        <v>0</v>
      </c>
      <c r="M19" s="68">
        <f t="shared" si="1"/>
        <v>2400</v>
      </c>
      <c r="N19" s="68">
        <f t="shared" si="1"/>
        <v>4770</v>
      </c>
      <c r="O19" s="78"/>
      <c r="P19" s="73"/>
    </row>
    <row r="20" spans="1:257" ht="26.25" customHeight="1">
      <c r="A20" s="338" t="str">
        <f>'Table-2'!A20</f>
        <v>DA Arrear</v>
      </c>
      <c r="B20" s="66">
        <f>'Table-2'!B20</f>
        <v>0</v>
      </c>
      <c r="C20" s="69">
        <f>'Table-2'!C20</f>
        <v>0</v>
      </c>
      <c r="D20" s="69">
        <f>'Table-2'!D20</f>
        <v>4804</v>
      </c>
      <c r="E20" s="69"/>
      <c r="F20" s="69">
        <f>'Table-2'!F20</f>
        <v>0</v>
      </c>
      <c r="G20" s="69">
        <f>'Table-2'!G20</f>
        <v>0</v>
      </c>
      <c r="H20" s="66">
        <f t="shared" si="0"/>
        <v>4804</v>
      </c>
      <c r="I20" s="66">
        <f>'Table-2'!K20</f>
        <v>4804</v>
      </c>
      <c r="J20" s="66">
        <f>'Table-2'!L20</f>
        <v>0</v>
      </c>
      <c r="K20" s="66">
        <f>'Table-2'!M20</f>
        <v>0</v>
      </c>
      <c r="L20" s="69">
        <v>0</v>
      </c>
      <c r="M20" s="69">
        <f>'Table-2'!N20</f>
        <v>0</v>
      </c>
      <c r="N20" s="69">
        <f>'Table-2'!O20</f>
        <v>0</v>
      </c>
      <c r="P20" s="72"/>
    </row>
    <row r="21" spans="1:257" ht="26.25" customHeight="1">
      <c r="A21" s="338" t="str">
        <f>'Table-2'!A21</f>
        <v>DA Arrear</v>
      </c>
      <c r="B21" s="66">
        <f>'Table-2'!B21</f>
        <v>0</v>
      </c>
      <c r="C21" s="69">
        <f>'Table-2'!C21</f>
        <v>0</v>
      </c>
      <c r="D21" s="69">
        <f>'Table-2'!D21</f>
        <v>4506</v>
      </c>
      <c r="E21" s="69"/>
      <c r="F21" s="69">
        <f>'Table-2'!F21</f>
        <v>0</v>
      </c>
      <c r="G21" s="69">
        <f>'Table-2'!G21</f>
        <v>0</v>
      </c>
      <c r="H21" s="66">
        <f t="shared" si="0"/>
        <v>4506</v>
      </c>
      <c r="I21" s="66">
        <f>'Table-2'!K21</f>
        <v>4506</v>
      </c>
      <c r="J21" s="66">
        <f>'Table-2'!L21</f>
        <v>0</v>
      </c>
      <c r="K21" s="66">
        <f>'Table-2'!M21</f>
        <v>0</v>
      </c>
      <c r="L21" s="66">
        <v>0</v>
      </c>
      <c r="M21" s="69">
        <f>'Table-2'!N21</f>
        <v>0</v>
      </c>
      <c r="N21" s="69">
        <f>'Table-2'!O21</f>
        <v>0</v>
      </c>
    </row>
    <row r="22" spans="1:257" ht="26.25" customHeight="1">
      <c r="A22" s="338" t="str">
        <f>'Table-2'!A22</f>
        <v>AAS Arrear</v>
      </c>
      <c r="B22" s="66">
        <f>'Table-2'!B22</f>
        <v>0</v>
      </c>
      <c r="C22" s="69">
        <f>'Table-2'!C22</f>
        <v>0</v>
      </c>
      <c r="D22" s="69">
        <f>'Table-2'!D22</f>
        <v>0</v>
      </c>
      <c r="E22" s="69"/>
      <c r="F22" s="69">
        <f>'Table-2'!F22</f>
        <v>0</v>
      </c>
      <c r="G22" s="69">
        <f>'Table-2'!G22</f>
        <v>0</v>
      </c>
      <c r="H22" s="66">
        <f t="shared" si="0"/>
        <v>0</v>
      </c>
      <c r="I22" s="66">
        <f>'Table-2'!K22</f>
        <v>0</v>
      </c>
      <c r="J22" s="66">
        <f>'Table-2'!L22</f>
        <v>0</v>
      </c>
      <c r="K22" s="66">
        <f>'Table-2'!M22</f>
        <v>0</v>
      </c>
      <c r="L22" s="66">
        <v>0</v>
      </c>
      <c r="M22" s="69">
        <f>'Table-2'!N22</f>
        <v>0</v>
      </c>
      <c r="N22" s="69">
        <f>'Table-2'!O22</f>
        <v>0</v>
      </c>
    </row>
    <row r="23" spans="1:257" ht="26.25" customHeight="1">
      <c r="A23" s="338" t="str">
        <f>'Table-2'!A23</f>
        <v>Pro Arrear</v>
      </c>
      <c r="B23" s="66">
        <f>'Table-2'!B23</f>
        <v>0</v>
      </c>
      <c r="C23" s="69">
        <f>'Table-2'!C23</f>
        <v>0</v>
      </c>
      <c r="D23" s="69">
        <f>'Table-2'!D23</f>
        <v>0</v>
      </c>
      <c r="E23" s="69"/>
      <c r="F23" s="69">
        <f>'Table-2'!F23</f>
        <v>0</v>
      </c>
      <c r="G23" s="69">
        <f>'Table-2'!G23</f>
        <v>0</v>
      </c>
      <c r="H23" s="66">
        <f>SUM(B23:G23)</f>
        <v>0</v>
      </c>
      <c r="I23" s="66">
        <f>'Table-2'!K23</f>
        <v>0</v>
      </c>
      <c r="J23" s="66">
        <f>'Table-2'!L23</f>
        <v>0</v>
      </c>
      <c r="K23" s="66">
        <f>'Table-2'!M23</f>
        <v>0</v>
      </c>
      <c r="L23" s="66">
        <v>0</v>
      </c>
      <c r="M23" s="69">
        <f>'Table-2'!N23</f>
        <v>0</v>
      </c>
      <c r="N23" s="69">
        <f>'Table-2'!O23</f>
        <v>0</v>
      </c>
    </row>
    <row r="24" spans="1:257" ht="26.25" customHeight="1">
      <c r="A24" s="338" t="str">
        <f>'Table-2'!A24</f>
        <v>Sr. Leave</v>
      </c>
      <c r="B24" s="66">
        <f>'Table-2'!B24</f>
        <v>9015</v>
      </c>
      <c r="C24" s="69">
        <f>'Table-2'!C24</f>
        <v>0</v>
      </c>
      <c r="D24" s="69">
        <f>'Table-2'!D24</f>
        <v>5711</v>
      </c>
      <c r="E24" s="69"/>
      <c r="F24" s="69">
        <f>'Table-2'!F24</f>
        <v>1082</v>
      </c>
      <c r="G24" s="69">
        <f>'Table-2'!G24</f>
        <v>0</v>
      </c>
      <c r="H24" s="66">
        <f>SUM(B24:G24)</f>
        <v>15808</v>
      </c>
      <c r="I24" s="66">
        <f>'Table-2'!K24</f>
        <v>0</v>
      </c>
      <c r="J24" s="66">
        <f>'Table-2'!L24</f>
        <v>0</v>
      </c>
      <c r="K24" s="66">
        <f>'Table-2'!M24</f>
        <v>0</v>
      </c>
      <c r="L24" s="66">
        <v>0</v>
      </c>
      <c r="M24" s="69">
        <f>'Table-2'!N24</f>
        <v>0</v>
      </c>
      <c r="N24" s="69">
        <f>'Table-2'!O24</f>
        <v>0</v>
      </c>
    </row>
    <row r="25" spans="1:257" ht="26.25" customHeight="1">
      <c r="A25" s="338" t="str">
        <f>'Table-2'!A25</f>
        <v>Others</v>
      </c>
      <c r="B25" s="66">
        <f>'Table-2'!B25</f>
        <v>0</v>
      </c>
      <c r="C25" s="69">
        <f>'Table-2'!C25</f>
        <v>0</v>
      </c>
      <c r="D25" s="69">
        <f>'Table-2'!D25</f>
        <v>0</v>
      </c>
      <c r="E25" s="69"/>
      <c r="F25" s="69">
        <f>'Table-2'!F25</f>
        <v>0</v>
      </c>
      <c r="G25" s="69">
        <f>'Table-2'!G25</f>
        <v>0</v>
      </c>
      <c r="H25" s="66">
        <f>SUM(B25:G25)</f>
        <v>0</v>
      </c>
      <c r="I25" s="66">
        <f>'Table-2'!K25</f>
        <v>0</v>
      </c>
      <c r="J25" s="66">
        <f>'Table-2'!L25</f>
        <v>0</v>
      </c>
      <c r="K25" s="66">
        <f>'Table-2'!M25</f>
        <v>0</v>
      </c>
      <c r="L25" s="66">
        <v>0</v>
      </c>
      <c r="M25" s="69">
        <f>'Table-2'!N25</f>
        <v>0</v>
      </c>
      <c r="N25" s="69">
        <f>'Table-2'!O25</f>
        <v>0</v>
      </c>
    </row>
    <row r="26" spans="1:257" s="2" customFormat="1" ht="27.95" customHeight="1" thickBot="1">
      <c r="A26" s="67" t="s">
        <v>44</v>
      </c>
      <c r="B26" s="68">
        <f t="shared" ref="B26:BN26" si="2">SUM(B19:B25)</f>
        <v>221945</v>
      </c>
      <c r="C26" s="68">
        <f t="shared" si="2"/>
        <v>0</v>
      </c>
      <c r="D26" s="68">
        <f t="shared" si="2"/>
        <v>136987</v>
      </c>
      <c r="E26" s="68">
        <f t="shared" si="2"/>
        <v>9736</v>
      </c>
      <c r="F26" s="68">
        <f t="shared" si="2"/>
        <v>26637</v>
      </c>
      <c r="G26" s="68">
        <f t="shared" si="2"/>
        <v>0</v>
      </c>
      <c r="H26" s="68">
        <f t="shared" si="2"/>
        <v>395305</v>
      </c>
      <c r="I26" s="68">
        <f t="shared" si="2"/>
        <v>33310</v>
      </c>
      <c r="J26" s="68">
        <f t="shared" si="2"/>
        <v>12000</v>
      </c>
      <c r="K26" s="68">
        <f t="shared" si="2"/>
        <v>720</v>
      </c>
      <c r="L26" s="68">
        <f t="shared" si="2"/>
        <v>0</v>
      </c>
      <c r="M26" s="68">
        <f t="shared" si="2"/>
        <v>2400</v>
      </c>
      <c r="N26" s="68">
        <f t="shared" si="2"/>
        <v>4770</v>
      </c>
      <c r="O26" s="68">
        <f t="shared" si="2"/>
        <v>0</v>
      </c>
      <c r="P26" s="68">
        <f t="shared" si="2"/>
        <v>0</v>
      </c>
      <c r="Q26" s="68">
        <f t="shared" si="2"/>
        <v>0</v>
      </c>
      <c r="R26" s="68">
        <f t="shared" si="2"/>
        <v>0</v>
      </c>
      <c r="S26" s="68">
        <f t="shared" si="2"/>
        <v>0</v>
      </c>
      <c r="T26" s="68">
        <f t="shared" si="2"/>
        <v>0</v>
      </c>
      <c r="U26" s="68">
        <f t="shared" si="2"/>
        <v>0</v>
      </c>
      <c r="V26" s="68">
        <f t="shared" si="2"/>
        <v>0</v>
      </c>
      <c r="W26" s="68">
        <f t="shared" si="2"/>
        <v>0</v>
      </c>
      <c r="X26" s="68">
        <f t="shared" si="2"/>
        <v>0</v>
      </c>
      <c r="Y26" s="68">
        <f t="shared" si="2"/>
        <v>0</v>
      </c>
      <c r="Z26" s="68">
        <f t="shared" si="2"/>
        <v>0</v>
      </c>
      <c r="AA26" s="68">
        <f t="shared" si="2"/>
        <v>0</v>
      </c>
      <c r="AB26" s="68">
        <f t="shared" si="2"/>
        <v>0</v>
      </c>
      <c r="AC26" s="68">
        <f t="shared" si="2"/>
        <v>0</v>
      </c>
      <c r="AD26" s="68">
        <f t="shared" si="2"/>
        <v>0</v>
      </c>
      <c r="AE26" s="68">
        <f t="shared" si="2"/>
        <v>0</v>
      </c>
      <c r="AF26" s="68">
        <f t="shared" si="2"/>
        <v>0</v>
      </c>
      <c r="AG26" s="68">
        <f t="shared" si="2"/>
        <v>0</v>
      </c>
      <c r="AH26" s="68">
        <f t="shared" si="2"/>
        <v>0</v>
      </c>
      <c r="AI26" s="68">
        <f t="shared" si="2"/>
        <v>0</v>
      </c>
      <c r="AJ26" s="68">
        <f t="shared" si="2"/>
        <v>0</v>
      </c>
      <c r="AK26" s="68">
        <f t="shared" si="2"/>
        <v>0</v>
      </c>
      <c r="AL26" s="68">
        <f t="shared" si="2"/>
        <v>0</v>
      </c>
      <c r="AM26" s="68">
        <f t="shared" si="2"/>
        <v>0</v>
      </c>
      <c r="AN26" s="68">
        <f t="shared" si="2"/>
        <v>0</v>
      </c>
      <c r="AO26" s="68">
        <f t="shared" si="2"/>
        <v>0</v>
      </c>
      <c r="AP26" s="68">
        <f t="shared" si="2"/>
        <v>0</v>
      </c>
      <c r="AQ26" s="68">
        <f t="shared" si="2"/>
        <v>0</v>
      </c>
      <c r="AR26" s="68">
        <f t="shared" si="2"/>
        <v>0</v>
      </c>
      <c r="AS26" s="68">
        <f t="shared" si="2"/>
        <v>0</v>
      </c>
      <c r="AT26" s="68">
        <f t="shared" si="2"/>
        <v>0</v>
      </c>
      <c r="AU26" s="68">
        <f t="shared" si="2"/>
        <v>0</v>
      </c>
      <c r="AV26" s="68">
        <f t="shared" si="2"/>
        <v>0</v>
      </c>
      <c r="AW26" s="68">
        <f t="shared" si="2"/>
        <v>0</v>
      </c>
      <c r="AX26" s="68">
        <f t="shared" si="2"/>
        <v>0</v>
      </c>
      <c r="AY26" s="68">
        <f t="shared" si="2"/>
        <v>0</v>
      </c>
      <c r="AZ26" s="68">
        <f t="shared" si="2"/>
        <v>0</v>
      </c>
      <c r="BA26" s="68">
        <f t="shared" si="2"/>
        <v>0</v>
      </c>
      <c r="BB26" s="68">
        <f t="shared" si="2"/>
        <v>0</v>
      </c>
      <c r="BC26" s="68">
        <f t="shared" si="2"/>
        <v>0</v>
      </c>
      <c r="BD26" s="68">
        <f t="shared" si="2"/>
        <v>0</v>
      </c>
      <c r="BE26" s="68">
        <f t="shared" si="2"/>
        <v>0</v>
      </c>
      <c r="BF26" s="68">
        <f t="shared" si="2"/>
        <v>0</v>
      </c>
      <c r="BG26" s="68">
        <f t="shared" si="2"/>
        <v>0</v>
      </c>
      <c r="BH26" s="68">
        <f t="shared" si="2"/>
        <v>0</v>
      </c>
      <c r="BI26" s="68">
        <f t="shared" si="2"/>
        <v>0</v>
      </c>
      <c r="BJ26" s="68">
        <f t="shared" si="2"/>
        <v>0</v>
      </c>
      <c r="BK26" s="68">
        <f t="shared" si="2"/>
        <v>0</v>
      </c>
      <c r="BL26" s="68">
        <f t="shared" si="2"/>
        <v>0</v>
      </c>
      <c r="BM26" s="68">
        <f t="shared" si="2"/>
        <v>0</v>
      </c>
      <c r="BN26" s="68">
        <f t="shared" si="2"/>
        <v>0</v>
      </c>
      <c r="BO26" s="68">
        <f t="shared" ref="BO26:DZ26" si="3">SUM(BO19:BO25)</f>
        <v>0</v>
      </c>
      <c r="BP26" s="68">
        <f t="shared" si="3"/>
        <v>0</v>
      </c>
      <c r="BQ26" s="68">
        <f t="shared" si="3"/>
        <v>0</v>
      </c>
      <c r="BR26" s="68">
        <f t="shared" si="3"/>
        <v>0</v>
      </c>
      <c r="BS26" s="68">
        <f t="shared" si="3"/>
        <v>0</v>
      </c>
      <c r="BT26" s="68">
        <f t="shared" si="3"/>
        <v>0</v>
      </c>
      <c r="BU26" s="68">
        <f t="shared" si="3"/>
        <v>0</v>
      </c>
      <c r="BV26" s="68">
        <f t="shared" si="3"/>
        <v>0</v>
      </c>
      <c r="BW26" s="68">
        <f t="shared" si="3"/>
        <v>0</v>
      </c>
      <c r="BX26" s="68">
        <f t="shared" si="3"/>
        <v>0</v>
      </c>
      <c r="BY26" s="68">
        <f t="shared" si="3"/>
        <v>0</v>
      </c>
      <c r="BZ26" s="68">
        <f t="shared" si="3"/>
        <v>0</v>
      </c>
      <c r="CA26" s="68">
        <f t="shared" si="3"/>
        <v>0</v>
      </c>
      <c r="CB26" s="68">
        <f t="shared" si="3"/>
        <v>0</v>
      </c>
      <c r="CC26" s="68">
        <f t="shared" si="3"/>
        <v>0</v>
      </c>
      <c r="CD26" s="68">
        <f t="shared" si="3"/>
        <v>0</v>
      </c>
      <c r="CE26" s="68">
        <f t="shared" si="3"/>
        <v>0</v>
      </c>
      <c r="CF26" s="68">
        <f t="shared" si="3"/>
        <v>0</v>
      </c>
      <c r="CG26" s="68">
        <f t="shared" si="3"/>
        <v>0</v>
      </c>
      <c r="CH26" s="68">
        <f t="shared" si="3"/>
        <v>0</v>
      </c>
      <c r="CI26" s="68">
        <f t="shared" si="3"/>
        <v>0</v>
      </c>
      <c r="CJ26" s="68">
        <f t="shared" si="3"/>
        <v>0</v>
      </c>
      <c r="CK26" s="68">
        <f t="shared" si="3"/>
        <v>0</v>
      </c>
      <c r="CL26" s="68">
        <f t="shared" si="3"/>
        <v>0</v>
      </c>
      <c r="CM26" s="68">
        <f t="shared" si="3"/>
        <v>0</v>
      </c>
      <c r="CN26" s="68">
        <f t="shared" si="3"/>
        <v>0</v>
      </c>
      <c r="CO26" s="68">
        <f t="shared" si="3"/>
        <v>0</v>
      </c>
      <c r="CP26" s="68">
        <f t="shared" si="3"/>
        <v>0</v>
      </c>
      <c r="CQ26" s="68">
        <f t="shared" si="3"/>
        <v>0</v>
      </c>
      <c r="CR26" s="68">
        <f t="shared" si="3"/>
        <v>0</v>
      </c>
      <c r="CS26" s="68">
        <f t="shared" si="3"/>
        <v>0</v>
      </c>
      <c r="CT26" s="68">
        <f t="shared" si="3"/>
        <v>0</v>
      </c>
      <c r="CU26" s="68">
        <f t="shared" si="3"/>
        <v>0</v>
      </c>
      <c r="CV26" s="68">
        <f t="shared" si="3"/>
        <v>0</v>
      </c>
      <c r="CW26" s="68">
        <f t="shared" si="3"/>
        <v>0</v>
      </c>
      <c r="CX26" s="68">
        <f t="shared" si="3"/>
        <v>0</v>
      </c>
      <c r="CY26" s="68">
        <f t="shared" si="3"/>
        <v>0</v>
      </c>
      <c r="CZ26" s="68">
        <f t="shared" si="3"/>
        <v>0</v>
      </c>
      <c r="DA26" s="68">
        <f t="shared" si="3"/>
        <v>0</v>
      </c>
      <c r="DB26" s="68">
        <f t="shared" si="3"/>
        <v>0</v>
      </c>
      <c r="DC26" s="68">
        <f t="shared" si="3"/>
        <v>0</v>
      </c>
      <c r="DD26" s="68">
        <f t="shared" si="3"/>
        <v>0</v>
      </c>
      <c r="DE26" s="68">
        <f t="shared" si="3"/>
        <v>0</v>
      </c>
      <c r="DF26" s="68">
        <f t="shared" si="3"/>
        <v>0</v>
      </c>
      <c r="DG26" s="68">
        <f t="shared" si="3"/>
        <v>0</v>
      </c>
      <c r="DH26" s="68">
        <f t="shared" si="3"/>
        <v>0</v>
      </c>
      <c r="DI26" s="68">
        <f t="shared" si="3"/>
        <v>0</v>
      </c>
      <c r="DJ26" s="68">
        <f t="shared" si="3"/>
        <v>0</v>
      </c>
      <c r="DK26" s="68">
        <f t="shared" si="3"/>
        <v>0</v>
      </c>
      <c r="DL26" s="68">
        <f t="shared" si="3"/>
        <v>0</v>
      </c>
      <c r="DM26" s="68">
        <f t="shared" si="3"/>
        <v>0</v>
      </c>
      <c r="DN26" s="68">
        <f t="shared" si="3"/>
        <v>0</v>
      </c>
      <c r="DO26" s="68">
        <f t="shared" si="3"/>
        <v>0</v>
      </c>
      <c r="DP26" s="68">
        <f t="shared" si="3"/>
        <v>0</v>
      </c>
      <c r="DQ26" s="68">
        <f t="shared" si="3"/>
        <v>0</v>
      </c>
      <c r="DR26" s="68">
        <f t="shared" si="3"/>
        <v>0</v>
      </c>
      <c r="DS26" s="68">
        <f t="shared" si="3"/>
        <v>0</v>
      </c>
      <c r="DT26" s="68">
        <f t="shared" si="3"/>
        <v>0</v>
      </c>
      <c r="DU26" s="68">
        <f t="shared" si="3"/>
        <v>0</v>
      </c>
      <c r="DV26" s="68">
        <f t="shared" si="3"/>
        <v>0</v>
      </c>
      <c r="DW26" s="68">
        <f t="shared" si="3"/>
        <v>0</v>
      </c>
      <c r="DX26" s="68">
        <f t="shared" si="3"/>
        <v>0</v>
      </c>
      <c r="DY26" s="68">
        <f t="shared" si="3"/>
        <v>0</v>
      </c>
      <c r="DZ26" s="68">
        <f t="shared" si="3"/>
        <v>0</v>
      </c>
      <c r="EA26" s="68">
        <f t="shared" ref="EA26:GL26" si="4">SUM(EA19:EA25)</f>
        <v>0</v>
      </c>
      <c r="EB26" s="68">
        <f t="shared" si="4"/>
        <v>0</v>
      </c>
      <c r="EC26" s="68">
        <f t="shared" si="4"/>
        <v>0</v>
      </c>
      <c r="ED26" s="68">
        <f t="shared" si="4"/>
        <v>0</v>
      </c>
      <c r="EE26" s="68">
        <f t="shared" si="4"/>
        <v>0</v>
      </c>
      <c r="EF26" s="68">
        <f t="shared" si="4"/>
        <v>0</v>
      </c>
      <c r="EG26" s="68">
        <f t="shared" si="4"/>
        <v>0</v>
      </c>
      <c r="EH26" s="68">
        <f t="shared" si="4"/>
        <v>0</v>
      </c>
      <c r="EI26" s="68">
        <f t="shared" si="4"/>
        <v>0</v>
      </c>
      <c r="EJ26" s="68">
        <f t="shared" si="4"/>
        <v>0</v>
      </c>
      <c r="EK26" s="68">
        <f t="shared" si="4"/>
        <v>0</v>
      </c>
      <c r="EL26" s="68">
        <f t="shared" si="4"/>
        <v>0</v>
      </c>
      <c r="EM26" s="68">
        <f t="shared" si="4"/>
        <v>0</v>
      </c>
      <c r="EN26" s="68">
        <f t="shared" si="4"/>
        <v>0</v>
      </c>
      <c r="EO26" s="68">
        <f t="shared" si="4"/>
        <v>0</v>
      </c>
      <c r="EP26" s="68">
        <f t="shared" si="4"/>
        <v>0</v>
      </c>
      <c r="EQ26" s="68">
        <f t="shared" si="4"/>
        <v>0</v>
      </c>
      <c r="ER26" s="68">
        <f t="shared" si="4"/>
        <v>0</v>
      </c>
      <c r="ES26" s="68">
        <f t="shared" si="4"/>
        <v>0</v>
      </c>
      <c r="ET26" s="68">
        <f t="shared" si="4"/>
        <v>0</v>
      </c>
      <c r="EU26" s="68">
        <f t="shared" si="4"/>
        <v>0</v>
      </c>
      <c r="EV26" s="68">
        <f t="shared" si="4"/>
        <v>0</v>
      </c>
      <c r="EW26" s="68">
        <f t="shared" si="4"/>
        <v>0</v>
      </c>
      <c r="EX26" s="68">
        <f t="shared" si="4"/>
        <v>0</v>
      </c>
      <c r="EY26" s="68">
        <f t="shared" si="4"/>
        <v>0</v>
      </c>
      <c r="EZ26" s="68">
        <f t="shared" si="4"/>
        <v>0</v>
      </c>
      <c r="FA26" s="68">
        <f t="shared" si="4"/>
        <v>0</v>
      </c>
      <c r="FB26" s="68">
        <f t="shared" si="4"/>
        <v>0</v>
      </c>
      <c r="FC26" s="68">
        <f t="shared" si="4"/>
        <v>0</v>
      </c>
      <c r="FD26" s="68">
        <f t="shared" si="4"/>
        <v>0</v>
      </c>
      <c r="FE26" s="68">
        <f t="shared" si="4"/>
        <v>0</v>
      </c>
      <c r="FF26" s="68">
        <f t="shared" si="4"/>
        <v>0</v>
      </c>
      <c r="FG26" s="68">
        <f t="shared" si="4"/>
        <v>0</v>
      </c>
      <c r="FH26" s="68">
        <f t="shared" si="4"/>
        <v>0</v>
      </c>
      <c r="FI26" s="68">
        <f t="shared" si="4"/>
        <v>0</v>
      </c>
      <c r="FJ26" s="68">
        <f t="shared" si="4"/>
        <v>0</v>
      </c>
      <c r="FK26" s="68">
        <f t="shared" si="4"/>
        <v>0</v>
      </c>
      <c r="FL26" s="68">
        <f t="shared" si="4"/>
        <v>0</v>
      </c>
      <c r="FM26" s="68">
        <f t="shared" si="4"/>
        <v>0</v>
      </c>
      <c r="FN26" s="68">
        <f t="shared" si="4"/>
        <v>0</v>
      </c>
      <c r="FO26" s="68">
        <f t="shared" si="4"/>
        <v>0</v>
      </c>
      <c r="FP26" s="68">
        <f t="shared" si="4"/>
        <v>0</v>
      </c>
      <c r="FQ26" s="68">
        <f t="shared" si="4"/>
        <v>0</v>
      </c>
      <c r="FR26" s="68">
        <f t="shared" si="4"/>
        <v>0</v>
      </c>
      <c r="FS26" s="68">
        <f t="shared" si="4"/>
        <v>0</v>
      </c>
      <c r="FT26" s="68">
        <f t="shared" si="4"/>
        <v>0</v>
      </c>
      <c r="FU26" s="68">
        <f t="shared" si="4"/>
        <v>0</v>
      </c>
      <c r="FV26" s="68">
        <f t="shared" si="4"/>
        <v>0</v>
      </c>
      <c r="FW26" s="68">
        <f t="shared" si="4"/>
        <v>0</v>
      </c>
      <c r="FX26" s="68">
        <f t="shared" si="4"/>
        <v>0</v>
      </c>
      <c r="FY26" s="68">
        <f t="shared" si="4"/>
        <v>0</v>
      </c>
      <c r="FZ26" s="68">
        <f t="shared" si="4"/>
        <v>0</v>
      </c>
      <c r="GA26" s="68">
        <f t="shared" si="4"/>
        <v>0</v>
      </c>
      <c r="GB26" s="68">
        <f t="shared" si="4"/>
        <v>0</v>
      </c>
      <c r="GC26" s="68">
        <f t="shared" si="4"/>
        <v>0</v>
      </c>
      <c r="GD26" s="68">
        <f t="shared" si="4"/>
        <v>0</v>
      </c>
      <c r="GE26" s="68">
        <f t="shared" si="4"/>
        <v>0</v>
      </c>
      <c r="GF26" s="68">
        <f t="shared" si="4"/>
        <v>0</v>
      </c>
      <c r="GG26" s="68">
        <f t="shared" si="4"/>
        <v>0</v>
      </c>
      <c r="GH26" s="68">
        <f t="shared" si="4"/>
        <v>0</v>
      </c>
      <c r="GI26" s="68">
        <f t="shared" si="4"/>
        <v>0</v>
      </c>
      <c r="GJ26" s="68">
        <f t="shared" si="4"/>
        <v>0</v>
      </c>
      <c r="GK26" s="68">
        <f t="shared" si="4"/>
        <v>0</v>
      </c>
      <c r="GL26" s="68">
        <f t="shared" si="4"/>
        <v>0</v>
      </c>
      <c r="GM26" s="68">
        <f t="shared" ref="GM26:IW26" si="5">SUM(GM19:GM25)</f>
        <v>0</v>
      </c>
      <c r="GN26" s="68">
        <f t="shared" si="5"/>
        <v>0</v>
      </c>
      <c r="GO26" s="68">
        <f t="shared" si="5"/>
        <v>0</v>
      </c>
      <c r="GP26" s="68">
        <f t="shared" si="5"/>
        <v>0</v>
      </c>
      <c r="GQ26" s="68">
        <f t="shared" si="5"/>
        <v>0</v>
      </c>
      <c r="GR26" s="68">
        <f t="shared" si="5"/>
        <v>0</v>
      </c>
      <c r="GS26" s="68">
        <f t="shared" si="5"/>
        <v>0</v>
      </c>
      <c r="GT26" s="68">
        <f t="shared" si="5"/>
        <v>0</v>
      </c>
      <c r="GU26" s="68">
        <f t="shared" si="5"/>
        <v>0</v>
      </c>
      <c r="GV26" s="68">
        <f t="shared" si="5"/>
        <v>0</v>
      </c>
      <c r="GW26" s="68">
        <f t="shared" si="5"/>
        <v>0</v>
      </c>
      <c r="GX26" s="68">
        <f t="shared" si="5"/>
        <v>0</v>
      </c>
      <c r="GY26" s="68">
        <f t="shared" si="5"/>
        <v>0</v>
      </c>
      <c r="GZ26" s="68">
        <f t="shared" si="5"/>
        <v>0</v>
      </c>
      <c r="HA26" s="68">
        <f t="shared" si="5"/>
        <v>0</v>
      </c>
      <c r="HB26" s="68">
        <f t="shared" si="5"/>
        <v>0</v>
      </c>
      <c r="HC26" s="68">
        <f t="shared" si="5"/>
        <v>0</v>
      </c>
      <c r="HD26" s="68">
        <f t="shared" si="5"/>
        <v>0</v>
      </c>
      <c r="HE26" s="68">
        <f t="shared" si="5"/>
        <v>0</v>
      </c>
      <c r="HF26" s="68">
        <f t="shared" si="5"/>
        <v>0</v>
      </c>
      <c r="HG26" s="68">
        <f t="shared" si="5"/>
        <v>0</v>
      </c>
      <c r="HH26" s="68">
        <f t="shared" si="5"/>
        <v>0</v>
      </c>
      <c r="HI26" s="68">
        <f t="shared" si="5"/>
        <v>0</v>
      </c>
      <c r="HJ26" s="68">
        <f t="shared" si="5"/>
        <v>0</v>
      </c>
      <c r="HK26" s="68">
        <f t="shared" si="5"/>
        <v>0</v>
      </c>
      <c r="HL26" s="68">
        <f t="shared" si="5"/>
        <v>0</v>
      </c>
      <c r="HM26" s="68">
        <f t="shared" si="5"/>
        <v>0</v>
      </c>
      <c r="HN26" s="68">
        <f t="shared" si="5"/>
        <v>0</v>
      </c>
      <c r="HO26" s="68">
        <f t="shared" si="5"/>
        <v>0</v>
      </c>
      <c r="HP26" s="68">
        <f t="shared" si="5"/>
        <v>0</v>
      </c>
      <c r="HQ26" s="68">
        <f t="shared" si="5"/>
        <v>0</v>
      </c>
      <c r="HR26" s="68">
        <f t="shared" si="5"/>
        <v>0</v>
      </c>
      <c r="HS26" s="68">
        <f t="shared" si="5"/>
        <v>0</v>
      </c>
      <c r="HT26" s="68">
        <f t="shared" si="5"/>
        <v>0</v>
      </c>
      <c r="HU26" s="68">
        <f t="shared" si="5"/>
        <v>0</v>
      </c>
      <c r="HV26" s="68">
        <f t="shared" si="5"/>
        <v>0</v>
      </c>
      <c r="HW26" s="68">
        <f t="shared" si="5"/>
        <v>0</v>
      </c>
      <c r="HX26" s="68">
        <f t="shared" si="5"/>
        <v>0</v>
      </c>
      <c r="HY26" s="68">
        <f t="shared" si="5"/>
        <v>0</v>
      </c>
      <c r="HZ26" s="68">
        <f t="shared" si="5"/>
        <v>0</v>
      </c>
      <c r="IA26" s="68">
        <f t="shared" si="5"/>
        <v>0</v>
      </c>
      <c r="IB26" s="68">
        <f t="shared" si="5"/>
        <v>0</v>
      </c>
      <c r="IC26" s="68">
        <f t="shared" si="5"/>
        <v>0</v>
      </c>
      <c r="ID26" s="68">
        <f t="shared" si="5"/>
        <v>0</v>
      </c>
      <c r="IE26" s="68">
        <f t="shared" si="5"/>
        <v>0</v>
      </c>
      <c r="IF26" s="68">
        <f t="shared" si="5"/>
        <v>0</v>
      </c>
      <c r="IG26" s="68">
        <f t="shared" si="5"/>
        <v>0</v>
      </c>
      <c r="IH26" s="68">
        <f t="shared" si="5"/>
        <v>0</v>
      </c>
      <c r="II26" s="68">
        <f t="shared" si="5"/>
        <v>0</v>
      </c>
      <c r="IJ26" s="68">
        <f t="shared" si="5"/>
        <v>0</v>
      </c>
      <c r="IK26" s="68">
        <f t="shared" si="5"/>
        <v>0</v>
      </c>
      <c r="IL26" s="68">
        <f t="shared" si="5"/>
        <v>0</v>
      </c>
      <c r="IM26" s="68">
        <f t="shared" si="5"/>
        <v>0</v>
      </c>
      <c r="IN26" s="68">
        <f t="shared" si="5"/>
        <v>0</v>
      </c>
      <c r="IO26" s="68">
        <f t="shared" si="5"/>
        <v>0</v>
      </c>
      <c r="IP26" s="68">
        <f t="shared" si="5"/>
        <v>0</v>
      </c>
      <c r="IQ26" s="68">
        <f t="shared" si="5"/>
        <v>0</v>
      </c>
      <c r="IR26" s="68">
        <f t="shared" si="5"/>
        <v>0</v>
      </c>
      <c r="IS26" s="68">
        <f t="shared" si="5"/>
        <v>0</v>
      </c>
      <c r="IT26" s="68">
        <f t="shared" si="5"/>
        <v>0</v>
      </c>
      <c r="IU26" s="68">
        <f t="shared" si="5"/>
        <v>0</v>
      </c>
      <c r="IV26" s="68">
        <f t="shared" si="5"/>
        <v>0</v>
      </c>
      <c r="IW26" s="68">
        <f t="shared" si="5"/>
        <v>0</v>
      </c>
    </row>
    <row r="27" spans="1:257" ht="30.75" customHeight="1">
      <c r="A27" s="399" t="str">
        <f>'Table-2'!A27:O27</f>
        <v>DETAILS OF PAY &amp; ALLOWANCES FROM 01 MARCH 2013 TO 28 FEBRUARY 2014</v>
      </c>
      <c r="B27" s="399"/>
      <c r="C27" s="399"/>
      <c r="D27" s="399"/>
      <c r="E27" s="399"/>
      <c r="F27" s="399"/>
      <c r="G27" s="399"/>
      <c r="H27" s="399"/>
      <c r="I27" s="399"/>
      <c r="J27" s="399"/>
      <c r="K27" s="399"/>
      <c r="L27" s="399"/>
      <c r="M27" s="399"/>
      <c r="N27" s="399"/>
    </row>
    <row r="28" spans="1:257" s="3" customFormat="1" ht="18" customHeight="1">
      <c r="A28" s="60" t="s">
        <v>214</v>
      </c>
      <c r="B28" s="402" t="str">
        <f>"Total Gross Salary including H.R.A. during the year "&amp;Data!Y3</f>
        <v>Total Gross Salary including H.R.A. during the year 2013-14</v>
      </c>
      <c r="C28" s="402"/>
      <c r="D28" s="402"/>
      <c r="E28" s="402"/>
      <c r="F28" s="402"/>
      <c r="G28" s="402"/>
      <c r="H28" s="402"/>
      <c r="I28" s="402"/>
      <c r="J28" s="402"/>
      <c r="K28" s="402"/>
      <c r="L28" s="403">
        <f>H26</f>
        <v>395305</v>
      </c>
      <c r="M28" s="403"/>
      <c r="N28" s="58"/>
      <c r="O28" s="79"/>
    </row>
    <row r="29" spans="1:257" s="3" customFormat="1" ht="27" customHeight="1">
      <c r="A29" s="60" t="s">
        <v>215</v>
      </c>
      <c r="B29" s="402" t="s">
        <v>216</v>
      </c>
      <c r="C29" s="402"/>
      <c r="D29" s="402"/>
      <c r="E29" s="402"/>
      <c r="F29" s="402"/>
      <c r="G29" s="402"/>
      <c r="H29" s="402"/>
      <c r="I29" s="402"/>
      <c r="J29" s="402"/>
      <c r="K29" s="402"/>
      <c r="L29" s="403">
        <v>0</v>
      </c>
      <c r="M29" s="403"/>
      <c r="N29" s="58"/>
      <c r="O29" s="79"/>
    </row>
    <row r="30" spans="1:257" s="4" customFormat="1" ht="20.25" customHeight="1">
      <c r="A30" s="59"/>
      <c r="B30" s="59"/>
      <c r="C30" s="59"/>
      <c r="D30" s="59"/>
      <c r="E30" s="59"/>
      <c r="F30" s="59"/>
      <c r="G30" s="59"/>
      <c r="H30" s="59"/>
      <c r="I30" s="59"/>
      <c r="J30" s="59"/>
      <c r="K30" s="71" t="s">
        <v>217</v>
      </c>
      <c r="L30" s="397">
        <f>SUM(L28:L29)</f>
        <v>395305</v>
      </c>
      <c r="M30" s="397"/>
      <c r="N30" s="64"/>
      <c r="O30" s="80"/>
    </row>
    <row r="31" spans="1:257" s="61" customFormat="1" ht="50.1" customHeight="1">
      <c r="A31" s="125" t="s">
        <v>545</v>
      </c>
      <c r="K31" s="62"/>
      <c r="L31" s="62"/>
      <c r="M31" s="62"/>
      <c r="N31" s="63" t="s">
        <v>46</v>
      </c>
      <c r="O31" s="81"/>
    </row>
    <row r="32" spans="1:257" ht="27.95" customHeight="1"/>
  </sheetData>
  <sheetProtection sheet="1" objects="1" scenarios="1" formatColumns="0" formatRows="0" selectLockedCells="1"/>
  <mergeCells count="18">
    <mergeCell ref="A1:N1"/>
    <mergeCell ref="D4:D5"/>
    <mergeCell ref="F4:F5"/>
    <mergeCell ref="G4:G5"/>
    <mergeCell ref="H4:H5"/>
    <mergeCell ref="N4:N5"/>
    <mergeCell ref="I4:M4"/>
    <mergeCell ref="L30:M30"/>
    <mergeCell ref="A2:N2"/>
    <mergeCell ref="A27:N27"/>
    <mergeCell ref="A4:A5"/>
    <mergeCell ref="B4:B5"/>
    <mergeCell ref="C4:C5"/>
    <mergeCell ref="B28:K28"/>
    <mergeCell ref="B29:K29"/>
    <mergeCell ref="L28:M28"/>
    <mergeCell ref="L29:M29"/>
    <mergeCell ref="E4:E5"/>
  </mergeCells>
  <phoneticPr fontId="2" type="noConversion"/>
  <dataValidations count="1">
    <dataValidation type="whole" operator="greaterThanOrEqual" allowBlank="1" showInputMessage="1" showErrorMessage="1" sqref="I20:N25 C20:G25">
      <formula1>0</formula1>
    </dataValidation>
  </dataValidations>
  <printOptions horizontalCentered="1"/>
  <pageMargins left="0.4" right="0.36" top="0.67" bottom="0.74" header="0.39" footer="0.4"/>
  <pageSetup paperSize="9" orientation="portrait" horizontalDpi="300" verticalDpi="300" r:id="rId1"/>
  <headerFooter alignWithMargins="0"/>
  <ignoredErrors>
    <ignoredError sqref="H19" formula="1"/>
  </ignoredErrors>
</worksheet>
</file>

<file path=xl/worksheets/sheet4.xml><?xml version="1.0" encoding="utf-8"?>
<worksheet xmlns="http://schemas.openxmlformats.org/spreadsheetml/2006/main" xmlns:r="http://schemas.openxmlformats.org/officeDocument/2006/relationships">
  <dimension ref="A1:IW32"/>
  <sheetViews>
    <sheetView showGridLines="0" workbookViewId="0">
      <selection activeCell="C4" sqref="C4:C5"/>
    </sheetView>
  </sheetViews>
  <sheetFormatPr defaultColWidth="0" defaultRowHeight="0" customHeight="1" zeroHeight="1"/>
  <cols>
    <col min="1" max="1" width="7.140625" style="6" customWidth="1"/>
    <col min="2" max="2" width="7.85546875" style="1" customWidth="1"/>
    <col min="3" max="3" width="6.42578125" style="1" customWidth="1"/>
    <col min="4" max="4" width="7.85546875" style="1" customWidth="1"/>
    <col min="5" max="6" width="6.42578125" style="1" customWidth="1"/>
    <col min="7" max="7" width="5.7109375" style="1" customWidth="1"/>
    <col min="8" max="8" width="6.5703125" style="1" bestFit="1" customWidth="1"/>
    <col min="9" max="9" width="5.7109375" style="1" customWidth="1"/>
    <col min="10" max="10" width="8" style="1" bestFit="1" customWidth="1"/>
    <col min="11" max="11" width="6.28515625" style="1" customWidth="1"/>
    <col min="12" max="12" width="6.5703125" style="1" customWidth="1"/>
    <col min="13" max="13" width="5" style="1" customWidth="1"/>
    <col min="14" max="14" width="5.7109375" style="1" customWidth="1"/>
    <col min="15" max="15" width="6.5703125" style="1" customWidth="1"/>
    <col min="16" max="16" width="0.140625" style="1" customWidth="1"/>
    <col min="17" max="16384" width="6.140625" style="1" hidden="1"/>
  </cols>
  <sheetData>
    <row r="1" spans="1:15" ht="25.5" customHeight="1">
      <c r="A1" s="404" t="str">
        <f>"DETAILS OF INCOME DURING THE YEAR "&amp;Data!Y3</f>
        <v>DETAILS OF INCOME DURING THE YEAR 2013-14</v>
      </c>
      <c r="B1" s="404"/>
      <c r="C1" s="404"/>
      <c r="D1" s="404"/>
      <c r="E1" s="404"/>
      <c r="F1" s="404"/>
      <c r="G1" s="404"/>
      <c r="H1" s="404"/>
      <c r="I1" s="404"/>
      <c r="J1" s="404"/>
      <c r="K1" s="404"/>
      <c r="L1" s="404"/>
      <c r="M1" s="404"/>
      <c r="N1" s="404"/>
      <c r="O1" s="404"/>
    </row>
    <row r="2" spans="1:15" s="65" customFormat="1" ht="18" customHeight="1">
      <c r="A2" s="398" t="str">
        <f>"( From "&amp;TEXT(EDATE(Data!Y2,2),"DD-MM-YYYY")&amp;" to "&amp;TEXT(EDATE(Data!Y2,14)-1,"DD-MM-YYYY")&amp;" )"</f>
        <v>( From 01-03-2013 to 28-02-2014 )</v>
      </c>
      <c r="B2" s="398"/>
      <c r="C2" s="398"/>
      <c r="D2" s="398"/>
      <c r="E2" s="398"/>
      <c r="F2" s="398"/>
      <c r="G2" s="398"/>
      <c r="H2" s="398"/>
      <c r="I2" s="398"/>
      <c r="J2" s="398"/>
      <c r="K2" s="398"/>
      <c r="L2" s="398"/>
      <c r="M2" s="398"/>
      <c r="N2" s="398"/>
      <c r="O2" s="398"/>
    </row>
    <row r="3" spans="1:15" s="5" customFormat="1" ht="18" customHeight="1">
      <c r="A3" s="140" t="str">
        <f>"Name: "&amp;IF(Data!H4=Data!BA23,"Sri ","Smt ")&amp;PROPER(Data!X7)</f>
        <v>Name: Sri Nainala Srinivas</v>
      </c>
      <c r="B3" s="141"/>
      <c r="C3" s="142"/>
      <c r="D3" s="142"/>
      <c r="E3" s="142"/>
      <c r="F3" s="142"/>
      <c r="G3" s="142"/>
      <c r="H3" s="142"/>
      <c r="I3" s="142"/>
      <c r="J3" s="142"/>
      <c r="K3" s="142"/>
      <c r="L3" s="142"/>
      <c r="M3" s="143"/>
      <c r="N3" s="142"/>
      <c r="O3" s="144" t="str">
        <f>"Desig: "&amp;Data!D4</f>
        <v>Desig: S.A.(Math's)</v>
      </c>
    </row>
    <row r="4" spans="1:15" s="145" customFormat="1" ht="18" customHeight="1">
      <c r="A4" s="408" t="s">
        <v>42</v>
      </c>
      <c r="B4" s="408" t="s">
        <v>89</v>
      </c>
      <c r="C4" s="410" t="s">
        <v>723</v>
      </c>
      <c r="D4" s="408" t="s">
        <v>90</v>
      </c>
      <c r="E4" s="408" t="s">
        <v>728</v>
      </c>
      <c r="F4" s="408" t="s">
        <v>86</v>
      </c>
      <c r="G4" s="408" t="s">
        <v>91</v>
      </c>
      <c r="H4" s="408" t="s">
        <v>602</v>
      </c>
      <c r="I4" s="408" t="s">
        <v>603</v>
      </c>
      <c r="J4" s="408" t="s">
        <v>14</v>
      </c>
      <c r="K4" s="412" t="s">
        <v>43</v>
      </c>
      <c r="L4" s="413"/>
      <c r="M4" s="413"/>
      <c r="N4" s="413"/>
      <c r="O4" s="414"/>
    </row>
    <row r="5" spans="1:15" s="147" customFormat="1" ht="27.95" customHeight="1">
      <c r="A5" s="409"/>
      <c r="B5" s="409"/>
      <c r="C5" s="411"/>
      <c r="D5" s="409"/>
      <c r="E5" s="409"/>
      <c r="F5" s="409"/>
      <c r="G5" s="409"/>
      <c r="H5" s="409"/>
      <c r="I5" s="409"/>
      <c r="J5" s="409"/>
      <c r="K5" s="146" t="str">
        <f>Data!AL2</f>
        <v>Z.P.P.F.</v>
      </c>
      <c r="L5" s="146" t="s">
        <v>87</v>
      </c>
      <c r="M5" s="146" t="s">
        <v>88</v>
      </c>
      <c r="N5" s="261" t="s">
        <v>92</v>
      </c>
      <c r="O5" s="261" t="s">
        <v>93</v>
      </c>
    </row>
    <row r="6" spans="1:15" s="5" customFormat="1" ht="14.1" customHeight="1">
      <c r="A6" s="70"/>
      <c r="B6" s="93" t="s">
        <v>45</v>
      </c>
      <c r="C6" s="93" t="s">
        <v>45</v>
      </c>
      <c r="D6" s="93" t="s">
        <v>45</v>
      </c>
      <c r="E6" s="93" t="s">
        <v>45</v>
      </c>
      <c r="F6" s="93" t="s">
        <v>45</v>
      </c>
      <c r="G6" s="93" t="s">
        <v>45</v>
      </c>
      <c r="H6" s="93" t="s">
        <v>45</v>
      </c>
      <c r="I6" s="93" t="s">
        <v>45</v>
      </c>
      <c r="J6" s="93" t="s">
        <v>45</v>
      </c>
      <c r="K6" s="93" t="s">
        <v>45</v>
      </c>
      <c r="L6" s="93" t="s">
        <v>45</v>
      </c>
      <c r="M6" s="93" t="s">
        <v>45</v>
      </c>
      <c r="N6" s="93" t="s">
        <v>45</v>
      </c>
      <c r="O6" s="93" t="s">
        <v>45</v>
      </c>
    </row>
    <row r="7" spans="1:15" s="5" customFormat="1" ht="19.5" customHeight="1">
      <c r="A7" s="148">
        <f>EDATE(Data!Y2,2)</f>
        <v>41334</v>
      </c>
      <c r="B7" s="152">
        <f>VLOOKUP(A7,Details,4,FALSE)</f>
        <v>17540</v>
      </c>
      <c r="C7" s="153">
        <f>Data!F$22</f>
        <v>0</v>
      </c>
      <c r="D7" s="153">
        <f>VLOOKUP($A7,Details,5,FALSE)</f>
        <v>8408</v>
      </c>
      <c r="E7" s="153">
        <f t="shared" ref="E7:E18" si="0">VLOOKUP($A7,Details,18,FALSE)</f>
        <v>0</v>
      </c>
      <c r="F7" s="153">
        <f t="shared" ref="F7:F18" si="1">VLOOKUP($A7,Details,6,FALSE)</f>
        <v>2105</v>
      </c>
      <c r="G7" s="153">
        <f t="shared" ref="G7:G18" si="2">VLOOKUP($A7,Details,7,FALSE)</f>
        <v>0</v>
      </c>
      <c r="H7" s="153">
        <f t="shared" ref="H7:H18" si="3">VLOOKUP($A7,Details,8,FALSE)</f>
        <v>0</v>
      </c>
      <c r="I7" s="153">
        <f t="shared" ref="I7:I18" si="4">VLOOKUP($A7,Details,9,FALSE)</f>
        <v>0</v>
      </c>
      <c r="J7" s="66">
        <f>SUM(B7:I7)</f>
        <v>28053</v>
      </c>
      <c r="K7" s="152">
        <f>VLOOKUP($A7,Details,10,FALSE)</f>
        <v>2000</v>
      </c>
      <c r="L7" s="152">
        <f t="shared" ref="L7:L18" si="5">VLOOKUP($A7,Details,11,FALSE)</f>
        <v>1000</v>
      </c>
      <c r="M7" s="152">
        <f t="shared" ref="M7:M18" si="6">VLOOKUP($A7,Details,12,FALSE)</f>
        <v>60</v>
      </c>
      <c r="N7" s="152">
        <f>LOOKUP(J7,{0,5000,6000,10000,15000,20000},{0,60,80,100,150,200})</f>
        <v>200</v>
      </c>
      <c r="O7" s="152">
        <f t="shared" ref="O7:O18" si="7">VLOOKUP($A7,Details,13,FALSE)</f>
        <v>0</v>
      </c>
    </row>
    <row r="8" spans="1:15" s="5" customFormat="1" ht="19.5" customHeight="1">
      <c r="A8" s="148">
        <f>EDATE(A7,1)</f>
        <v>41365</v>
      </c>
      <c r="B8" s="152">
        <f t="shared" ref="B8:B18" si="8">VLOOKUP(A8,Details,4,FALSE)</f>
        <v>17540</v>
      </c>
      <c r="C8" s="153">
        <f>Data!F$22</f>
        <v>0</v>
      </c>
      <c r="D8" s="153">
        <f t="shared" ref="D8:D18" si="9">VLOOKUP(A8,Details,5,FALSE)</f>
        <v>8408</v>
      </c>
      <c r="E8" s="153">
        <f t="shared" si="0"/>
        <v>0</v>
      </c>
      <c r="F8" s="153">
        <f t="shared" si="1"/>
        <v>2105</v>
      </c>
      <c r="G8" s="153">
        <f t="shared" si="2"/>
        <v>0</v>
      </c>
      <c r="H8" s="153">
        <f t="shared" si="3"/>
        <v>0</v>
      </c>
      <c r="I8" s="153">
        <f t="shared" si="4"/>
        <v>0</v>
      </c>
      <c r="J8" s="66">
        <f t="shared" ref="J8:J18" si="10">SUM(B8:I8)</f>
        <v>28053</v>
      </c>
      <c r="K8" s="152">
        <f>IF(B8&lt;6700,0,IF(Data!$C$33=Data!$BB$30,ROUND((B8+D8)*10%,0),Data!AL6))</f>
        <v>2000</v>
      </c>
      <c r="L8" s="152">
        <f t="shared" si="5"/>
        <v>1000</v>
      </c>
      <c r="M8" s="152">
        <f t="shared" si="6"/>
        <v>60</v>
      </c>
      <c r="N8" s="152">
        <f>LOOKUP(J8,{0,5000,6000,10000,15000,20000},{0,60,80,100,150,200})</f>
        <v>200</v>
      </c>
      <c r="O8" s="152">
        <f t="shared" si="7"/>
        <v>0</v>
      </c>
    </row>
    <row r="9" spans="1:15" s="5" customFormat="1" ht="19.5" customHeight="1">
      <c r="A9" s="148">
        <f t="shared" ref="A9:A18" si="11">EDATE(A8,1)</f>
        <v>41395</v>
      </c>
      <c r="B9" s="152">
        <f t="shared" si="8"/>
        <v>17540</v>
      </c>
      <c r="C9" s="153">
        <f>Data!F$22</f>
        <v>0</v>
      </c>
      <c r="D9" s="153">
        <f t="shared" si="9"/>
        <v>9609</v>
      </c>
      <c r="E9" s="153">
        <f t="shared" si="0"/>
        <v>0</v>
      </c>
      <c r="F9" s="153">
        <f t="shared" si="1"/>
        <v>2105</v>
      </c>
      <c r="G9" s="153">
        <f t="shared" si="2"/>
        <v>0</v>
      </c>
      <c r="H9" s="153">
        <f t="shared" si="3"/>
        <v>0</v>
      </c>
      <c r="I9" s="153">
        <f t="shared" si="4"/>
        <v>0</v>
      </c>
      <c r="J9" s="66">
        <f t="shared" si="10"/>
        <v>29254</v>
      </c>
      <c r="K9" s="152">
        <f>IF(B9&lt;6700,0,IF(Data!$C$33=Data!$BB$30,ROUND((B9+D9)*10%,0),Data!AL7))</f>
        <v>2000</v>
      </c>
      <c r="L9" s="152">
        <f t="shared" si="5"/>
        <v>1000</v>
      </c>
      <c r="M9" s="152">
        <f t="shared" si="6"/>
        <v>60</v>
      </c>
      <c r="N9" s="152">
        <f>LOOKUP(J9,{0,5000,6000,10000,15000,20000},{0,60,80,100,150,200})</f>
        <v>200</v>
      </c>
      <c r="O9" s="152">
        <f t="shared" si="7"/>
        <v>0</v>
      </c>
    </row>
    <row r="10" spans="1:15" s="5" customFormat="1" ht="19.5" customHeight="1">
      <c r="A10" s="148">
        <f t="shared" si="11"/>
        <v>41426</v>
      </c>
      <c r="B10" s="152">
        <f t="shared" si="8"/>
        <v>17540</v>
      </c>
      <c r="C10" s="153">
        <f>Data!F$22</f>
        <v>0</v>
      </c>
      <c r="D10" s="153">
        <f t="shared" si="9"/>
        <v>9609</v>
      </c>
      <c r="E10" s="153">
        <f t="shared" si="0"/>
        <v>0</v>
      </c>
      <c r="F10" s="153">
        <f t="shared" si="1"/>
        <v>2105</v>
      </c>
      <c r="G10" s="153">
        <f t="shared" si="2"/>
        <v>0</v>
      </c>
      <c r="H10" s="153">
        <f t="shared" si="3"/>
        <v>0</v>
      </c>
      <c r="I10" s="153">
        <f t="shared" si="4"/>
        <v>0</v>
      </c>
      <c r="J10" s="66">
        <f t="shared" si="10"/>
        <v>29254</v>
      </c>
      <c r="K10" s="152">
        <f>IF(B10&lt;6700,0,IF(Data!$C$33=Data!$BB$30,ROUND((B10+D10)*10%,0),Data!AL8))</f>
        <v>2000</v>
      </c>
      <c r="L10" s="152">
        <f t="shared" si="5"/>
        <v>1000</v>
      </c>
      <c r="M10" s="152">
        <f t="shared" si="6"/>
        <v>60</v>
      </c>
      <c r="N10" s="152">
        <f>LOOKUP(J10,{0,5000,6000,10000,15000,20000},{0,60,80,100,150,200})</f>
        <v>200</v>
      </c>
      <c r="O10" s="152">
        <f t="shared" si="7"/>
        <v>0</v>
      </c>
    </row>
    <row r="11" spans="1:15" s="5" customFormat="1" ht="19.5" customHeight="1">
      <c r="A11" s="148">
        <f t="shared" si="11"/>
        <v>41456</v>
      </c>
      <c r="B11" s="152">
        <f t="shared" si="8"/>
        <v>17540</v>
      </c>
      <c r="C11" s="153">
        <f>Data!F$22</f>
        <v>0</v>
      </c>
      <c r="D11" s="153">
        <f t="shared" si="9"/>
        <v>9609</v>
      </c>
      <c r="E11" s="153">
        <f t="shared" si="0"/>
        <v>0</v>
      </c>
      <c r="F11" s="153">
        <f t="shared" si="1"/>
        <v>2105</v>
      </c>
      <c r="G11" s="153">
        <f t="shared" si="2"/>
        <v>0</v>
      </c>
      <c r="H11" s="153">
        <f t="shared" si="3"/>
        <v>0</v>
      </c>
      <c r="I11" s="153">
        <f t="shared" si="4"/>
        <v>0</v>
      </c>
      <c r="J11" s="66">
        <f t="shared" si="10"/>
        <v>29254</v>
      </c>
      <c r="K11" s="152">
        <f>IF(B11&lt;6700,0,IF(Data!$C$33=Data!$BB$30,ROUND((B11+D11)*10%,0),Data!AL9))</f>
        <v>2000</v>
      </c>
      <c r="L11" s="152">
        <f t="shared" si="5"/>
        <v>1000</v>
      </c>
      <c r="M11" s="152">
        <f t="shared" si="6"/>
        <v>60</v>
      </c>
      <c r="N11" s="152">
        <f>LOOKUP(J11,{0,5000,6000,10000,15000,20000},{0,60,80,100,150,200})</f>
        <v>200</v>
      </c>
      <c r="O11" s="152">
        <f t="shared" si="7"/>
        <v>0</v>
      </c>
    </row>
    <row r="12" spans="1:15" s="5" customFormat="1" ht="19.5" customHeight="1">
      <c r="A12" s="148">
        <f t="shared" si="11"/>
        <v>41487</v>
      </c>
      <c r="B12" s="152">
        <f t="shared" si="8"/>
        <v>17540</v>
      </c>
      <c r="C12" s="153">
        <f>Data!F$22</f>
        <v>0</v>
      </c>
      <c r="D12" s="153">
        <f t="shared" si="9"/>
        <v>9609</v>
      </c>
      <c r="E12" s="153">
        <f t="shared" si="0"/>
        <v>0</v>
      </c>
      <c r="F12" s="153">
        <f t="shared" si="1"/>
        <v>2105</v>
      </c>
      <c r="G12" s="153">
        <f t="shared" si="2"/>
        <v>0</v>
      </c>
      <c r="H12" s="153">
        <f t="shared" si="3"/>
        <v>0</v>
      </c>
      <c r="I12" s="153">
        <f t="shared" si="4"/>
        <v>0</v>
      </c>
      <c r="J12" s="66">
        <f t="shared" si="10"/>
        <v>29254</v>
      </c>
      <c r="K12" s="152">
        <f>IF(B12&lt;6700,0,IF(Data!$C$33=Data!$BB$30,ROUND((B12+D12)*10%,0),Data!AL10))</f>
        <v>2000</v>
      </c>
      <c r="L12" s="152">
        <f t="shared" si="5"/>
        <v>1000</v>
      </c>
      <c r="M12" s="152">
        <f t="shared" si="6"/>
        <v>60</v>
      </c>
      <c r="N12" s="152">
        <f>LOOKUP(J12,{0,5000,6000,10000,15000,20000},{0,60,80,100,150,200})</f>
        <v>200</v>
      </c>
      <c r="O12" s="152">
        <f t="shared" si="7"/>
        <v>0</v>
      </c>
    </row>
    <row r="13" spans="1:15" s="5" customFormat="1" ht="19.5" customHeight="1">
      <c r="A13" s="148">
        <f t="shared" si="11"/>
        <v>41518</v>
      </c>
      <c r="B13" s="152">
        <f t="shared" si="8"/>
        <v>17540</v>
      </c>
      <c r="C13" s="153">
        <f>Data!F$22</f>
        <v>0</v>
      </c>
      <c r="D13" s="153">
        <f t="shared" si="9"/>
        <v>9609</v>
      </c>
      <c r="E13" s="153">
        <f t="shared" si="0"/>
        <v>0</v>
      </c>
      <c r="F13" s="153">
        <f t="shared" si="1"/>
        <v>2105</v>
      </c>
      <c r="G13" s="153">
        <f t="shared" si="2"/>
        <v>0</v>
      </c>
      <c r="H13" s="153">
        <f t="shared" si="3"/>
        <v>0</v>
      </c>
      <c r="I13" s="153">
        <f t="shared" si="4"/>
        <v>0</v>
      </c>
      <c r="J13" s="66">
        <f t="shared" si="10"/>
        <v>29254</v>
      </c>
      <c r="K13" s="152">
        <f>IF(B13&lt;6700,0,IF(Data!$C$33=Data!$BB$30,ROUND((B13+D13)*10%,0),Data!AL11))</f>
        <v>2000</v>
      </c>
      <c r="L13" s="152">
        <f t="shared" si="5"/>
        <v>1000</v>
      </c>
      <c r="M13" s="152">
        <f t="shared" si="6"/>
        <v>60</v>
      </c>
      <c r="N13" s="152">
        <f>LOOKUP(J13,{0,5000,6000,10000,15000,20000},{0,60,80,100,150,200})</f>
        <v>200</v>
      </c>
      <c r="O13" s="152">
        <f t="shared" si="7"/>
        <v>0</v>
      </c>
    </row>
    <row r="14" spans="1:15" s="5" customFormat="1" ht="19.5" customHeight="1">
      <c r="A14" s="148">
        <f t="shared" si="11"/>
        <v>41548</v>
      </c>
      <c r="B14" s="152">
        <f t="shared" si="8"/>
        <v>18030</v>
      </c>
      <c r="C14" s="153">
        <f>Data!F$22</f>
        <v>0</v>
      </c>
      <c r="D14" s="153">
        <f t="shared" si="9"/>
        <v>11421</v>
      </c>
      <c r="E14" s="153">
        <f t="shared" si="0"/>
        <v>0</v>
      </c>
      <c r="F14" s="153">
        <f t="shared" si="1"/>
        <v>2164</v>
      </c>
      <c r="G14" s="153">
        <f t="shared" si="2"/>
        <v>0</v>
      </c>
      <c r="H14" s="153">
        <f t="shared" si="3"/>
        <v>0</v>
      </c>
      <c r="I14" s="153">
        <f t="shared" si="4"/>
        <v>0</v>
      </c>
      <c r="J14" s="66">
        <f t="shared" si="10"/>
        <v>31615</v>
      </c>
      <c r="K14" s="152">
        <f>IF(B14&lt;6700,0,IF(Data!$C$33=Data!$BB$30,ROUND((B14+D14)*10%,0),Data!AL12))</f>
        <v>2000</v>
      </c>
      <c r="L14" s="152">
        <f t="shared" si="5"/>
        <v>1000</v>
      </c>
      <c r="M14" s="152">
        <f t="shared" si="6"/>
        <v>60</v>
      </c>
      <c r="N14" s="152">
        <f>LOOKUP(J14,{0,5000,6000,10000,15000,20000},{0,60,80,100,150,200})</f>
        <v>200</v>
      </c>
      <c r="O14" s="152">
        <f t="shared" si="7"/>
        <v>0</v>
      </c>
    </row>
    <row r="15" spans="1:15" s="5" customFormat="1" ht="19.5" customHeight="1">
      <c r="A15" s="148">
        <f t="shared" si="11"/>
        <v>41579</v>
      </c>
      <c r="B15" s="152">
        <f t="shared" si="8"/>
        <v>18030</v>
      </c>
      <c r="C15" s="153">
        <f>Data!F$22</f>
        <v>0</v>
      </c>
      <c r="D15" s="153">
        <f t="shared" si="9"/>
        <v>11421</v>
      </c>
      <c r="E15" s="153">
        <f t="shared" si="0"/>
        <v>0</v>
      </c>
      <c r="F15" s="153">
        <f t="shared" si="1"/>
        <v>2164</v>
      </c>
      <c r="G15" s="153">
        <f t="shared" si="2"/>
        <v>0</v>
      </c>
      <c r="H15" s="153">
        <f t="shared" si="3"/>
        <v>0</v>
      </c>
      <c r="I15" s="153">
        <f t="shared" si="4"/>
        <v>0</v>
      </c>
      <c r="J15" s="66">
        <f t="shared" si="10"/>
        <v>31615</v>
      </c>
      <c r="K15" s="152">
        <f>IF(B15&lt;6700,0,IF(Data!$C$33=Data!$BB$30,ROUND((B15+D15)*10%,0),Data!AL13))</f>
        <v>2000</v>
      </c>
      <c r="L15" s="152">
        <f t="shared" si="5"/>
        <v>1000</v>
      </c>
      <c r="M15" s="152">
        <f t="shared" si="6"/>
        <v>60</v>
      </c>
      <c r="N15" s="152">
        <f>LOOKUP(J15,{0,5000,6000,10000,15000,20000},{0,60,80,100,150,200})</f>
        <v>200</v>
      </c>
      <c r="O15" s="152">
        <f t="shared" si="7"/>
        <v>0</v>
      </c>
    </row>
    <row r="16" spans="1:15" s="5" customFormat="1" ht="19.5" customHeight="1">
      <c r="A16" s="148">
        <f t="shared" si="11"/>
        <v>41609</v>
      </c>
      <c r="B16" s="152">
        <f t="shared" si="8"/>
        <v>18030</v>
      </c>
      <c r="C16" s="153">
        <f>Data!F$22</f>
        <v>0</v>
      </c>
      <c r="D16" s="153">
        <f t="shared" si="9"/>
        <v>11421</v>
      </c>
      <c r="E16" s="153">
        <f t="shared" si="0"/>
        <v>0</v>
      </c>
      <c r="F16" s="153">
        <f t="shared" si="1"/>
        <v>2164</v>
      </c>
      <c r="G16" s="153">
        <f t="shared" si="2"/>
        <v>0</v>
      </c>
      <c r="H16" s="153">
        <f t="shared" si="3"/>
        <v>0</v>
      </c>
      <c r="I16" s="153">
        <f t="shared" si="4"/>
        <v>0</v>
      </c>
      <c r="J16" s="66">
        <f t="shared" si="10"/>
        <v>31615</v>
      </c>
      <c r="K16" s="152">
        <f>IF(B16&lt;6700,0,IF(Data!$C$33=Data!$BB$30,ROUND((B16+D16)*10%,0),Data!AL14))</f>
        <v>2000</v>
      </c>
      <c r="L16" s="152">
        <f t="shared" si="5"/>
        <v>1000</v>
      </c>
      <c r="M16" s="152">
        <f t="shared" si="6"/>
        <v>60</v>
      </c>
      <c r="N16" s="152">
        <f>LOOKUP(J16,{0,5000,6000,10000,15000,20000},{0,60,80,100,150,200})</f>
        <v>200</v>
      </c>
      <c r="O16" s="152">
        <f t="shared" si="7"/>
        <v>0</v>
      </c>
    </row>
    <row r="17" spans="1:257" s="5" customFormat="1" ht="19.5" customHeight="1">
      <c r="A17" s="148">
        <f t="shared" si="11"/>
        <v>41640</v>
      </c>
      <c r="B17" s="152">
        <f t="shared" si="8"/>
        <v>18030</v>
      </c>
      <c r="C17" s="153">
        <f>Data!F$22</f>
        <v>0</v>
      </c>
      <c r="D17" s="153">
        <f t="shared" si="9"/>
        <v>11421</v>
      </c>
      <c r="E17" s="153">
        <f t="shared" si="0"/>
        <v>4868</v>
      </c>
      <c r="F17" s="153">
        <f t="shared" si="1"/>
        <v>2164</v>
      </c>
      <c r="G17" s="153">
        <f t="shared" si="2"/>
        <v>0</v>
      </c>
      <c r="H17" s="153">
        <f t="shared" si="3"/>
        <v>0</v>
      </c>
      <c r="I17" s="153">
        <f t="shared" si="4"/>
        <v>0</v>
      </c>
      <c r="J17" s="66">
        <f t="shared" si="10"/>
        <v>36483</v>
      </c>
      <c r="K17" s="152">
        <f>IF(B17&lt;6700,0,IF(Data!$C$33=Data!$BB$30,ROUND((B17+D17)*10%,0),Data!AL15))</f>
        <v>2000</v>
      </c>
      <c r="L17" s="152">
        <f t="shared" si="5"/>
        <v>1000</v>
      </c>
      <c r="M17" s="152">
        <f t="shared" si="6"/>
        <v>60</v>
      </c>
      <c r="N17" s="152">
        <f>LOOKUP(J17,{0,5000,6000,10000,15000,20000},{0,60,80,100,150,200})</f>
        <v>200</v>
      </c>
      <c r="O17" s="152">
        <f t="shared" si="7"/>
        <v>2500</v>
      </c>
    </row>
    <row r="18" spans="1:257" s="5" customFormat="1" ht="19.5" customHeight="1">
      <c r="A18" s="148">
        <f t="shared" si="11"/>
        <v>41671</v>
      </c>
      <c r="B18" s="152">
        <f t="shared" si="8"/>
        <v>18030</v>
      </c>
      <c r="C18" s="153">
        <f>Data!F$22</f>
        <v>0</v>
      </c>
      <c r="D18" s="153">
        <f t="shared" si="9"/>
        <v>11421</v>
      </c>
      <c r="E18" s="153">
        <f t="shared" si="0"/>
        <v>4868</v>
      </c>
      <c r="F18" s="153">
        <f t="shared" si="1"/>
        <v>2164</v>
      </c>
      <c r="G18" s="153">
        <f t="shared" si="2"/>
        <v>0</v>
      </c>
      <c r="H18" s="153">
        <f t="shared" si="3"/>
        <v>0</v>
      </c>
      <c r="I18" s="153">
        <f t="shared" si="4"/>
        <v>0</v>
      </c>
      <c r="J18" s="66">
        <f t="shared" si="10"/>
        <v>36483</v>
      </c>
      <c r="K18" s="152">
        <f>IF(B18&lt;6700,0,IF(Data!$C$33=Data!$BB$30,ROUND((B18+D18)*10%,0),Data!AL16))</f>
        <v>2000</v>
      </c>
      <c r="L18" s="152">
        <f t="shared" si="5"/>
        <v>1000</v>
      </c>
      <c r="M18" s="152">
        <f t="shared" si="6"/>
        <v>60</v>
      </c>
      <c r="N18" s="152">
        <f>LOOKUP(J18,{0,5000,6000,10000,15000,20000},{0,60,80,100,150,200})</f>
        <v>200</v>
      </c>
      <c r="O18" s="152">
        <f t="shared" si="7"/>
        <v>2270</v>
      </c>
    </row>
    <row r="19" spans="1:257" s="149" customFormat="1" ht="21.75" customHeight="1" thickBot="1">
      <c r="A19" s="67" t="s">
        <v>14</v>
      </c>
      <c r="B19" s="68">
        <f t="shared" ref="B19:O19" si="12">SUM(B7:B18)</f>
        <v>212930</v>
      </c>
      <c r="C19" s="68">
        <f t="shared" si="12"/>
        <v>0</v>
      </c>
      <c r="D19" s="68">
        <f t="shared" si="12"/>
        <v>121966</v>
      </c>
      <c r="E19" s="68">
        <f t="shared" si="12"/>
        <v>9736</v>
      </c>
      <c r="F19" s="68">
        <f t="shared" si="12"/>
        <v>25555</v>
      </c>
      <c r="G19" s="68">
        <f t="shared" si="12"/>
        <v>0</v>
      </c>
      <c r="H19" s="68">
        <f t="shared" si="12"/>
        <v>0</v>
      </c>
      <c r="I19" s="68">
        <f t="shared" si="12"/>
        <v>0</v>
      </c>
      <c r="J19" s="68">
        <f t="shared" si="12"/>
        <v>370187</v>
      </c>
      <c r="K19" s="68">
        <f t="shared" si="12"/>
        <v>24000</v>
      </c>
      <c r="L19" s="68">
        <f t="shared" si="12"/>
        <v>12000</v>
      </c>
      <c r="M19" s="68">
        <f t="shared" si="12"/>
        <v>720</v>
      </c>
      <c r="N19" s="68">
        <f t="shared" si="12"/>
        <v>2400</v>
      </c>
      <c r="O19" s="68">
        <f t="shared" si="12"/>
        <v>4770</v>
      </c>
    </row>
    <row r="20" spans="1:257" s="5" customFormat="1" ht="26.25" customHeight="1">
      <c r="A20" s="336" t="s">
        <v>49</v>
      </c>
      <c r="B20" s="151">
        <v>0</v>
      </c>
      <c r="C20" s="151">
        <v>0</v>
      </c>
      <c r="D20" s="153">
        <f>Data!AP22</f>
        <v>4804</v>
      </c>
      <c r="E20" s="343"/>
      <c r="F20" s="151">
        <v>0</v>
      </c>
      <c r="G20" s="151">
        <v>0</v>
      </c>
      <c r="H20" s="151">
        <v>0</v>
      </c>
      <c r="I20" s="151">
        <v>0</v>
      </c>
      <c r="J20" s="66">
        <f t="shared" ref="J20:J25" si="13">SUM(B20:I20)</f>
        <v>4804</v>
      </c>
      <c r="K20" s="151">
        <f>IF(Data!C33=Data!BB30,Data!AR22,Data!AP22)</f>
        <v>4804</v>
      </c>
      <c r="L20" s="151">
        <v>0</v>
      </c>
      <c r="M20" s="151">
        <v>0</v>
      </c>
      <c r="N20" s="151">
        <v>0</v>
      </c>
      <c r="O20" s="152">
        <v>0</v>
      </c>
    </row>
    <row r="21" spans="1:257" s="5" customFormat="1" ht="26.25" customHeight="1">
      <c r="A21" s="337" t="s">
        <v>49</v>
      </c>
      <c r="B21" s="152">
        <v>0</v>
      </c>
      <c r="C21" s="152">
        <v>0</v>
      </c>
      <c r="D21" s="153">
        <f>Data!AQ22</f>
        <v>4506</v>
      </c>
      <c r="E21" s="153"/>
      <c r="F21" s="152">
        <v>0</v>
      </c>
      <c r="G21" s="152">
        <v>0</v>
      </c>
      <c r="H21" s="152">
        <v>0</v>
      </c>
      <c r="I21" s="152">
        <v>0</v>
      </c>
      <c r="J21" s="66">
        <f t="shared" si="13"/>
        <v>4506</v>
      </c>
      <c r="K21" s="151">
        <f>IF(Data!C33=Data!BB30,Data!AS22,Data!AQ22)</f>
        <v>4506</v>
      </c>
      <c r="L21" s="151">
        <v>0</v>
      </c>
      <c r="M21" s="151">
        <v>0</v>
      </c>
      <c r="N21" s="151">
        <v>0</v>
      </c>
      <c r="O21" s="152">
        <v>0</v>
      </c>
    </row>
    <row r="22" spans="1:257" s="5" customFormat="1" ht="26.25" customHeight="1">
      <c r="A22" s="337" t="s">
        <v>595</v>
      </c>
      <c r="B22" s="152">
        <f>Data!AF23</f>
        <v>0</v>
      </c>
      <c r="C22" s="152"/>
      <c r="D22" s="152">
        <f>Data!AG23</f>
        <v>0</v>
      </c>
      <c r="E22" s="152"/>
      <c r="F22" s="152">
        <f>Data!AH23</f>
        <v>0</v>
      </c>
      <c r="G22" s="152"/>
      <c r="H22" s="152"/>
      <c r="I22" s="152"/>
      <c r="J22" s="66">
        <f t="shared" si="13"/>
        <v>0</v>
      </c>
      <c r="K22" s="151"/>
      <c r="L22" s="151">
        <v>0</v>
      </c>
      <c r="M22" s="151">
        <v>0</v>
      </c>
      <c r="N22" s="151">
        <v>0</v>
      </c>
      <c r="O22" s="152">
        <v>0</v>
      </c>
    </row>
    <row r="23" spans="1:257" s="5" customFormat="1" ht="26.25" customHeight="1">
      <c r="A23" s="337" t="s">
        <v>590</v>
      </c>
      <c r="B23" s="152">
        <f>Data!AF24</f>
        <v>0</v>
      </c>
      <c r="C23" s="152"/>
      <c r="D23" s="152">
        <f>Data!AG24</f>
        <v>0</v>
      </c>
      <c r="E23" s="152"/>
      <c r="F23" s="152">
        <f>Data!AH24</f>
        <v>0</v>
      </c>
      <c r="G23" s="152"/>
      <c r="H23" s="152"/>
      <c r="I23" s="152"/>
      <c r="J23" s="66">
        <f t="shared" si="13"/>
        <v>0</v>
      </c>
      <c r="K23" s="151">
        <v>0</v>
      </c>
      <c r="L23" s="151">
        <v>0</v>
      </c>
      <c r="M23" s="151">
        <v>0</v>
      </c>
      <c r="N23" s="151">
        <v>0</v>
      </c>
      <c r="O23" s="152">
        <v>0</v>
      </c>
    </row>
    <row r="24" spans="1:257" s="5" customFormat="1" ht="26.25" customHeight="1">
      <c r="A24" s="337" t="s">
        <v>516</v>
      </c>
      <c r="B24" s="152">
        <f>Data!AF25</f>
        <v>9015</v>
      </c>
      <c r="C24" s="152">
        <f>Data!AL25</f>
        <v>0</v>
      </c>
      <c r="D24" s="152">
        <f>Data!AG25</f>
        <v>5711</v>
      </c>
      <c r="E24" s="152"/>
      <c r="F24" s="152">
        <f>Data!AH25</f>
        <v>1082</v>
      </c>
      <c r="G24" s="152"/>
      <c r="H24" s="152"/>
      <c r="I24" s="152"/>
      <c r="J24" s="66">
        <f t="shared" si="13"/>
        <v>15808</v>
      </c>
      <c r="K24" s="151"/>
      <c r="L24" s="151"/>
      <c r="M24" s="151"/>
      <c r="N24" s="151"/>
      <c r="O24" s="152"/>
    </row>
    <row r="25" spans="1:257" s="5" customFormat="1" ht="26.25" customHeight="1">
      <c r="A25" s="337" t="s">
        <v>467</v>
      </c>
      <c r="B25" s="152"/>
      <c r="C25" s="152"/>
      <c r="D25" s="152"/>
      <c r="E25" s="152"/>
      <c r="F25" s="152"/>
      <c r="G25" s="152"/>
      <c r="H25" s="152"/>
      <c r="I25" s="152"/>
      <c r="J25" s="66">
        <f t="shared" si="13"/>
        <v>0</v>
      </c>
      <c r="K25" s="151"/>
      <c r="L25" s="151"/>
      <c r="M25" s="151"/>
      <c r="N25" s="151"/>
      <c r="O25" s="152"/>
    </row>
    <row r="26" spans="1:257" s="149" customFormat="1" ht="27.95" customHeight="1" thickBot="1">
      <c r="A26" s="67" t="s">
        <v>44</v>
      </c>
      <c r="B26" s="68">
        <f t="shared" ref="B26:BN26" si="14">SUM(B19:B25)</f>
        <v>221945</v>
      </c>
      <c r="C26" s="68">
        <f t="shared" si="14"/>
        <v>0</v>
      </c>
      <c r="D26" s="68">
        <f t="shared" si="14"/>
        <v>136987</v>
      </c>
      <c r="E26" s="68">
        <f t="shared" si="14"/>
        <v>9736</v>
      </c>
      <c r="F26" s="68">
        <f t="shared" si="14"/>
        <v>26637</v>
      </c>
      <c r="G26" s="68">
        <f t="shared" si="14"/>
        <v>0</v>
      </c>
      <c r="H26" s="68">
        <f t="shared" si="14"/>
        <v>0</v>
      </c>
      <c r="I26" s="68">
        <f t="shared" si="14"/>
        <v>0</v>
      </c>
      <c r="J26" s="68">
        <f t="shared" si="14"/>
        <v>395305</v>
      </c>
      <c r="K26" s="68">
        <f t="shared" si="14"/>
        <v>33310</v>
      </c>
      <c r="L26" s="68">
        <f t="shared" si="14"/>
        <v>12000</v>
      </c>
      <c r="M26" s="68">
        <f t="shared" si="14"/>
        <v>720</v>
      </c>
      <c r="N26" s="68">
        <f t="shared" si="14"/>
        <v>2400</v>
      </c>
      <c r="O26" s="68">
        <f t="shared" si="14"/>
        <v>4770</v>
      </c>
      <c r="P26" s="68">
        <f t="shared" si="14"/>
        <v>0</v>
      </c>
      <c r="Q26" s="68">
        <f t="shared" si="14"/>
        <v>0</v>
      </c>
      <c r="R26" s="68">
        <f t="shared" si="14"/>
        <v>0</v>
      </c>
      <c r="S26" s="68">
        <f t="shared" si="14"/>
        <v>0</v>
      </c>
      <c r="T26" s="68">
        <f t="shared" si="14"/>
        <v>0</v>
      </c>
      <c r="U26" s="68">
        <f t="shared" si="14"/>
        <v>0</v>
      </c>
      <c r="V26" s="68">
        <f t="shared" si="14"/>
        <v>0</v>
      </c>
      <c r="W26" s="68">
        <f t="shared" si="14"/>
        <v>0</v>
      </c>
      <c r="X26" s="68">
        <f t="shared" si="14"/>
        <v>0</v>
      </c>
      <c r="Y26" s="68">
        <f t="shared" si="14"/>
        <v>0</v>
      </c>
      <c r="Z26" s="68">
        <f t="shared" si="14"/>
        <v>0</v>
      </c>
      <c r="AA26" s="68">
        <f t="shared" si="14"/>
        <v>0</v>
      </c>
      <c r="AB26" s="68">
        <f t="shared" si="14"/>
        <v>0</v>
      </c>
      <c r="AC26" s="68">
        <f t="shared" si="14"/>
        <v>0</v>
      </c>
      <c r="AD26" s="68">
        <f t="shared" si="14"/>
        <v>0</v>
      </c>
      <c r="AE26" s="68">
        <f t="shared" si="14"/>
        <v>0</v>
      </c>
      <c r="AF26" s="68">
        <f t="shared" si="14"/>
        <v>0</v>
      </c>
      <c r="AG26" s="68">
        <f t="shared" si="14"/>
        <v>0</v>
      </c>
      <c r="AH26" s="68">
        <f t="shared" si="14"/>
        <v>0</v>
      </c>
      <c r="AI26" s="68">
        <f t="shared" si="14"/>
        <v>0</v>
      </c>
      <c r="AJ26" s="68">
        <f t="shared" si="14"/>
        <v>0</v>
      </c>
      <c r="AK26" s="68">
        <f t="shared" si="14"/>
        <v>0</v>
      </c>
      <c r="AL26" s="68">
        <f t="shared" si="14"/>
        <v>0</v>
      </c>
      <c r="AM26" s="68">
        <f t="shared" si="14"/>
        <v>0</v>
      </c>
      <c r="AN26" s="68">
        <f t="shared" si="14"/>
        <v>0</v>
      </c>
      <c r="AO26" s="68">
        <f t="shared" si="14"/>
        <v>0</v>
      </c>
      <c r="AP26" s="68">
        <f t="shared" si="14"/>
        <v>0</v>
      </c>
      <c r="AQ26" s="68">
        <f t="shared" si="14"/>
        <v>0</v>
      </c>
      <c r="AR26" s="68">
        <f t="shared" si="14"/>
        <v>0</v>
      </c>
      <c r="AS26" s="68">
        <f t="shared" si="14"/>
        <v>0</v>
      </c>
      <c r="AT26" s="68">
        <f t="shared" si="14"/>
        <v>0</v>
      </c>
      <c r="AU26" s="68">
        <f t="shared" si="14"/>
        <v>0</v>
      </c>
      <c r="AV26" s="68">
        <f t="shared" si="14"/>
        <v>0</v>
      </c>
      <c r="AW26" s="68">
        <f t="shared" si="14"/>
        <v>0</v>
      </c>
      <c r="AX26" s="68">
        <f t="shared" si="14"/>
        <v>0</v>
      </c>
      <c r="AY26" s="68">
        <f t="shared" si="14"/>
        <v>0</v>
      </c>
      <c r="AZ26" s="68">
        <f t="shared" si="14"/>
        <v>0</v>
      </c>
      <c r="BA26" s="68">
        <f t="shared" si="14"/>
        <v>0</v>
      </c>
      <c r="BB26" s="68">
        <f t="shared" si="14"/>
        <v>0</v>
      </c>
      <c r="BC26" s="68">
        <f t="shared" si="14"/>
        <v>0</v>
      </c>
      <c r="BD26" s="68">
        <f t="shared" si="14"/>
        <v>0</v>
      </c>
      <c r="BE26" s="68">
        <f t="shared" si="14"/>
        <v>0</v>
      </c>
      <c r="BF26" s="68">
        <f t="shared" si="14"/>
        <v>0</v>
      </c>
      <c r="BG26" s="68">
        <f t="shared" si="14"/>
        <v>0</v>
      </c>
      <c r="BH26" s="68">
        <f t="shared" si="14"/>
        <v>0</v>
      </c>
      <c r="BI26" s="68">
        <f t="shared" si="14"/>
        <v>0</v>
      </c>
      <c r="BJ26" s="68">
        <f t="shared" si="14"/>
        <v>0</v>
      </c>
      <c r="BK26" s="68">
        <f t="shared" si="14"/>
        <v>0</v>
      </c>
      <c r="BL26" s="68">
        <f t="shared" si="14"/>
        <v>0</v>
      </c>
      <c r="BM26" s="68">
        <f t="shared" si="14"/>
        <v>0</v>
      </c>
      <c r="BN26" s="68">
        <f t="shared" si="14"/>
        <v>0</v>
      </c>
      <c r="BO26" s="68">
        <f t="shared" ref="BO26:DZ26" si="15">SUM(BO19:BO25)</f>
        <v>0</v>
      </c>
      <c r="BP26" s="68">
        <f t="shared" si="15"/>
        <v>0</v>
      </c>
      <c r="BQ26" s="68">
        <f t="shared" si="15"/>
        <v>0</v>
      </c>
      <c r="BR26" s="68">
        <f t="shared" si="15"/>
        <v>0</v>
      </c>
      <c r="BS26" s="68">
        <f t="shared" si="15"/>
        <v>0</v>
      </c>
      <c r="BT26" s="68">
        <f t="shared" si="15"/>
        <v>0</v>
      </c>
      <c r="BU26" s="68">
        <f t="shared" si="15"/>
        <v>0</v>
      </c>
      <c r="BV26" s="68">
        <f t="shared" si="15"/>
        <v>0</v>
      </c>
      <c r="BW26" s="68">
        <f t="shared" si="15"/>
        <v>0</v>
      </c>
      <c r="BX26" s="68">
        <f t="shared" si="15"/>
        <v>0</v>
      </c>
      <c r="BY26" s="68">
        <f t="shared" si="15"/>
        <v>0</v>
      </c>
      <c r="BZ26" s="68">
        <f t="shared" si="15"/>
        <v>0</v>
      </c>
      <c r="CA26" s="68">
        <f t="shared" si="15"/>
        <v>0</v>
      </c>
      <c r="CB26" s="68">
        <f t="shared" si="15"/>
        <v>0</v>
      </c>
      <c r="CC26" s="68">
        <f t="shared" si="15"/>
        <v>0</v>
      </c>
      <c r="CD26" s="68">
        <f t="shared" si="15"/>
        <v>0</v>
      </c>
      <c r="CE26" s="68">
        <f t="shared" si="15"/>
        <v>0</v>
      </c>
      <c r="CF26" s="68">
        <f t="shared" si="15"/>
        <v>0</v>
      </c>
      <c r="CG26" s="68">
        <f t="shared" si="15"/>
        <v>0</v>
      </c>
      <c r="CH26" s="68">
        <f t="shared" si="15"/>
        <v>0</v>
      </c>
      <c r="CI26" s="68">
        <f t="shared" si="15"/>
        <v>0</v>
      </c>
      <c r="CJ26" s="68">
        <f t="shared" si="15"/>
        <v>0</v>
      </c>
      <c r="CK26" s="68">
        <f t="shared" si="15"/>
        <v>0</v>
      </c>
      <c r="CL26" s="68">
        <f t="shared" si="15"/>
        <v>0</v>
      </c>
      <c r="CM26" s="68">
        <f t="shared" si="15"/>
        <v>0</v>
      </c>
      <c r="CN26" s="68">
        <f t="shared" si="15"/>
        <v>0</v>
      </c>
      <c r="CO26" s="68">
        <f t="shared" si="15"/>
        <v>0</v>
      </c>
      <c r="CP26" s="68">
        <f t="shared" si="15"/>
        <v>0</v>
      </c>
      <c r="CQ26" s="68">
        <f t="shared" si="15"/>
        <v>0</v>
      </c>
      <c r="CR26" s="68">
        <f t="shared" si="15"/>
        <v>0</v>
      </c>
      <c r="CS26" s="68">
        <f t="shared" si="15"/>
        <v>0</v>
      </c>
      <c r="CT26" s="68">
        <f t="shared" si="15"/>
        <v>0</v>
      </c>
      <c r="CU26" s="68">
        <f t="shared" si="15"/>
        <v>0</v>
      </c>
      <c r="CV26" s="68">
        <f t="shared" si="15"/>
        <v>0</v>
      </c>
      <c r="CW26" s="68">
        <f t="shared" si="15"/>
        <v>0</v>
      </c>
      <c r="CX26" s="68">
        <f t="shared" si="15"/>
        <v>0</v>
      </c>
      <c r="CY26" s="68">
        <f t="shared" si="15"/>
        <v>0</v>
      </c>
      <c r="CZ26" s="68">
        <f t="shared" si="15"/>
        <v>0</v>
      </c>
      <c r="DA26" s="68">
        <f t="shared" si="15"/>
        <v>0</v>
      </c>
      <c r="DB26" s="68">
        <f t="shared" si="15"/>
        <v>0</v>
      </c>
      <c r="DC26" s="68">
        <f t="shared" si="15"/>
        <v>0</v>
      </c>
      <c r="DD26" s="68">
        <f t="shared" si="15"/>
        <v>0</v>
      </c>
      <c r="DE26" s="68">
        <f t="shared" si="15"/>
        <v>0</v>
      </c>
      <c r="DF26" s="68">
        <f t="shared" si="15"/>
        <v>0</v>
      </c>
      <c r="DG26" s="68">
        <f t="shared" si="15"/>
        <v>0</v>
      </c>
      <c r="DH26" s="68">
        <f t="shared" si="15"/>
        <v>0</v>
      </c>
      <c r="DI26" s="68">
        <f t="shared" si="15"/>
        <v>0</v>
      </c>
      <c r="DJ26" s="68">
        <f t="shared" si="15"/>
        <v>0</v>
      </c>
      <c r="DK26" s="68">
        <f t="shared" si="15"/>
        <v>0</v>
      </c>
      <c r="DL26" s="68">
        <f t="shared" si="15"/>
        <v>0</v>
      </c>
      <c r="DM26" s="68">
        <f t="shared" si="15"/>
        <v>0</v>
      </c>
      <c r="DN26" s="68">
        <f t="shared" si="15"/>
        <v>0</v>
      </c>
      <c r="DO26" s="68">
        <f t="shared" si="15"/>
        <v>0</v>
      </c>
      <c r="DP26" s="68">
        <f t="shared" si="15"/>
        <v>0</v>
      </c>
      <c r="DQ26" s="68">
        <f t="shared" si="15"/>
        <v>0</v>
      </c>
      <c r="DR26" s="68">
        <f t="shared" si="15"/>
        <v>0</v>
      </c>
      <c r="DS26" s="68">
        <f t="shared" si="15"/>
        <v>0</v>
      </c>
      <c r="DT26" s="68">
        <f t="shared" si="15"/>
        <v>0</v>
      </c>
      <c r="DU26" s="68">
        <f t="shared" si="15"/>
        <v>0</v>
      </c>
      <c r="DV26" s="68">
        <f t="shared" si="15"/>
        <v>0</v>
      </c>
      <c r="DW26" s="68">
        <f t="shared" si="15"/>
        <v>0</v>
      </c>
      <c r="DX26" s="68">
        <f t="shared" si="15"/>
        <v>0</v>
      </c>
      <c r="DY26" s="68">
        <f t="shared" si="15"/>
        <v>0</v>
      </c>
      <c r="DZ26" s="68">
        <f t="shared" si="15"/>
        <v>0</v>
      </c>
      <c r="EA26" s="68">
        <f t="shared" ref="EA26:GL26" si="16">SUM(EA19:EA25)</f>
        <v>0</v>
      </c>
      <c r="EB26" s="68">
        <f t="shared" si="16"/>
        <v>0</v>
      </c>
      <c r="EC26" s="68">
        <f t="shared" si="16"/>
        <v>0</v>
      </c>
      <c r="ED26" s="68">
        <f t="shared" si="16"/>
        <v>0</v>
      </c>
      <c r="EE26" s="68">
        <f t="shared" si="16"/>
        <v>0</v>
      </c>
      <c r="EF26" s="68">
        <f t="shared" si="16"/>
        <v>0</v>
      </c>
      <c r="EG26" s="68">
        <f t="shared" si="16"/>
        <v>0</v>
      </c>
      <c r="EH26" s="68">
        <f t="shared" si="16"/>
        <v>0</v>
      </c>
      <c r="EI26" s="68">
        <f t="shared" si="16"/>
        <v>0</v>
      </c>
      <c r="EJ26" s="68">
        <f t="shared" si="16"/>
        <v>0</v>
      </c>
      <c r="EK26" s="68">
        <f t="shared" si="16"/>
        <v>0</v>
      </c>
      <c r="EL26" s="68">
        <f t="shared" si="16"/>
        <v>0</v>
      </c>
      <c r="EM26" s="68">
        <f t="shared" si="16"/>
        <v>0</v>
      </c>
      <c r="EN26" s="68">
        <f t="shared" si="16"/>
        <v>0</v>
      </c>
      <c r="EO26" s="68">
        <f t="shared" si="16"/>
        <v>0</v>
      </c>
      <c r="EP26" s="68">
        <f t="shared" si="16"/>
        <v>0</v>
      </c>
      <c r="EQ26" s="68">
        <f t="shared" si="16"/>
        <v>0</v>
      </c>
      <c r="ER26" s="68">
        <f t="shared" si="16"/>
        <v>0</v>
      </c>
      <c r="ES26" s="68">
        <f t="shared" si="16"/>
        <v>0</v>
      </c>
      <c r="ET26" s="68">
        <f t="shared" si="16"/>
        <v>0</v>
      </c>
      <c r="EU26" s="68">
        <f t="shared" si="16"/>
        <v>0</v>
      </c>
      <c r="EV26" s="68">
        <f t="shared" si="16"/>
        <v>0</v>
      </c>
      <c r="EW26" s="68">
        <f t="shared" si="16"/>
        <v>0</v>
      </c>
      <c r="EX26" s="68">
        <f t="shared" si="16"/>
        <v>0</v>
      </c>
      <c r="EY26" s="68">
        <f t="shared" si="16"/>
        <v>0</v>
      </c>
      <c r="EZ26" s="68">
        <f t="shared" si="16"/>
        <v>0</v>
      </c>
      <c r="FA26" s="68">
        <f t="shared" si="16"/>
        <v>0</v>
      </c>
      <c r="FB26" s="68">
        <f t="shared" si="16"/>
        <v>0</v>
      </c>
      <c r="FC26" s="68">
        <f t="shared" si="16"/>
        <v>0</v>
      </c>
      <c r="FD26" s="68">
        <f t="shared" si="16"/>
        <v>0</v>
      </c>
      <c r="FE26" s="68">
        <f t="shared" si="16"/>
        <v>0</v>
      </c>
      <c r="FF26" s="68">
        <f t="shared" si="16"/>
        <v>0</v>
      </c>
      <c r="FG26" s="68">
        <f t="shared" si="16"/>
        <v>0</v>
      </c>
      <c r="FH26" s="68">
        <f t="shared" si="16"/>
        <v>0</v>
      </c>
      <c r="FI26" s="68">
        <f t="shared" si="16"/>
        <v>0</v>
      </c>
      <c r="FJ26" s="68">
        <f t="shared" si="16"/>
        <v>0</v>
      </c>
      <c r="FK26" s="68">
        <f t="shared" si="16"/>
        <v>0</v>
      </c>
      <c r="FL26" s="68">
        <f t="shared" si="16"/>
        <v>0</v>
      </c>
      <c r="FM26" s="68">
        <f t="shared" si="16"/>
        <v>0</v>
      </c>
      <c r="FN26" s="68">
        <f t="shared" si="16"/>
        <v>0</v>
      </c>
      <c r="FO26" s="68">
        <f t="shared" si="16"/>
        <v>0</v>
      </c>
      <c r="FP26" s="68">
        <f t="shared" si="16"/>
        <v>0</v>
      </c>
      <c r="FQ26" s="68">
        <f t="shared" si="16"/>
        <v>0</v>
      </c>
      <c r="FR26" s="68">
        <f t="shared" si="16"/>
        <v>0</v>
      </c>
      <c r="FS26" s="68">
        <f t="shared" si="16"/>
        <v>0</v>
      </c>
      <c r="FT26" s="68">
        <f t="shared" si="16"/>
        <v>0</v>
      </c>
      <c r="FU26" s="68">
        <f t="shared" si="16"/>
        <v>0</v>
      </c>
      <c r="FV26" s="68">
        <f t="shared" si="16"/>
        <v>0</v>
      </c>
      <c r="FW26" s="68">
        <f t="shared" si="16"/>
        <v>0</v>
      </c>
      <c r="FX26" s="68">
        <f t="shared" si="16"/>
        <v>0</v>
      </c>
      <c r="FY26" s="68">
        <f t="shared" si="16"/>
        <v>0</v>
      </c>
      <c r="FZ26" s="68">
        <f t="shared" si="16"/>
        <v>0</v>
      </c>
      <c r="GA26" s="68">
        <f t="shared" si="16"/>
        <v>0</v>
      </c>
      <c r="GB26" s="68">
        <f t="shared" si="16"/>
        <v>0</v>
      </c>
      <c r="GC26" s="68">
        <f t="shared" si="16"/>
        <v>0</v>
      </c>
      <c r="GD26" s="68">
        <f t="shared" si="16"/>
        <v>0</v>
      </c>
      <c r="GE26" s="68">
        <f t="shared" si="16"/>
        <v>0</v>
      </c>
      <c r="GF26" s="68">
        <f t="shared" si="16"/>
        <v>0</v>
      </c>
      <c r="GG26" s="68">
        <f t="shared" si="16"/>
        <v>0</v>
      </c>
      <c r="GH26" s="68">
        <f t="shared" si="16"/>
        <v>0</v>
      </c>
      <c r="GI26" s="68">
        <f t="shared" si="16"/>
        <v>0</v>
      </c>
      <c r="GJ26" s="68">
        <f t="shared" si="16"/>
        <v>0</v>
      </c>
      <c r="GK26" s="68">
        <f t="shared" si="16"/>
        <v>0</v>
      </c>
      <c r="GL26" s="68">
        <f t="shared" si="16"/>
        <v>0</v>
      </c>
      <c r="GM26" s="68">
        <f t="shared" ref="GM26:IW26" si="17">SUM(GM19:GM25)</f>
        <v>0</v>
      </c>
      <c r="GN26" s="68">
        <f t="shared" si="17"/>
        <v>0</v>
      </c>
      <c r="GO26" s="68">
        <f t="shared" si="17"/>
        <v>0</v>
      </c>
      <c r="GP26" s="68">
        <f t="shared" si="17"/>
        <v>0</v>
      </c>
      <c r="GQ26" s="68">
        <f t="shared" si="17"/>
        <v>0</v>
      </c>
      <c r="GR26" s="68">
        <f t="shared" si="17"/>
        <v>0</v>
      </c>
      <c r="GS26" s="68">
        <f t="shared" si="17"/>
        <v>0</v>
      </c>
      <c r="GT26" s="68">
        <f t="shared" si="17"/>
        <v>0</v>
      </c>
      <c r="GU26" s="68">
        <f t="shared" si="17"/>
        <v>0</v>
      </c>
      <c r="GV26" s="68">
        <f t="shared" si="17"/>
        <v>0</v>
      </c>
      <c r="GW26" s="68">
        <f t="shared" si="17"/>
        <v>0</v>
      </c>
      <c r="GX26" s="68">
        <f t="shared" si="17"/>
        <v>0</v>
      </c>
      <c r="GY26" s="68">
        <f t="shared" si="17"/>
        <v>0</v>
      </c>
      <c r="GZ26" s="68">
        <f t="shared" si="17"/>
        <v>0</v>
      </c>
      <c r="HA26" s="68">
        <f t="shared" si="17"/>
        <v>0</v>
      </c>
      <c r="HB26" s="68">
        <f t="shared" si="17"/>
        <v>0</v>
      </c>
      <c r="HC26" s="68">
        <f t="shared" si="17"/>
        <v>0</v>
      </c>
      <c r="HD26" s="68">
        <f t="shared" si="17"/>
        <v>0</v>
      </c>
      <c r="HE26" s="68">
        <f t="shared" si="17"/>
        <v>0</v>
      </c>
      <c r="HF26" s="68">
        <f t="shared" si="17"/>
        <v>0</v>
      </c>
      <c r="HG26" s="68">
        <f t="shared" si="17"/>
        <v>0</v>
      </c>
      <c r="HH26" s="68">
        <f t="shared" si="17"/>
        <v>0</v>
      </c>
      <c r="HI26" s="68">
        <f t="shared" si="17"/>
        <v>0</v>
      </c>
      <c r="HJ26" s="68">
        <f t="shared" si="17"/>
        <v>0</v>
      </c>
      <c r="HK26" s="68">
        <f t="shared" si="17"/>
        <v>0</v>
      </c>
      <c r="HL26" s="68">
        <f t="shared" si="17"/>
        <v>0</v>
      </c>
      <c r="HM26" s="68">
        <f t="shared" si="17"/>
        <v>0</v>
      </c>
      <c r="HN26" s="68">
        <f t="shared" si="17"/>
        <v>0</v>
      </c>
      <c r="HO26" s="68">
        <f t="shared" si="17"/>
        <v>0</v>
      </c>
      <c r="HP26" s="68">
        <f t="shared" si="17"/>
        <v>0</v>
      </c>
      <c r="HQ26" s="68">
        <f t="shared" si="17"/>
        <v>0</v>
      </c>
      <c r="HR26" s="68">
        <f t="shared" si="17"/>
        <v>0</v>
      </c>
      <c r="HS26" s="68">
        <f t="shared" si="17"/>
        <v>0</v>
      </c>
      <c r="HT26" s="68">
        <f t="shared" si="17"/>
        <v>0</v>
      </c>
      <c r="HU26" s="68">
        <f t="shared" si="17"/>
        <v>0</v>
      </c>
      <c r="HV26" s="68">
        <f t="shared" si="17"/>
        <v>0</v>
      </c>
      <c r="HW26" s="68">
        <f t="shared" si="17"/>
        <v>0</v>
      </c>
      <c r="HX26" s="68">
        <f t="shared" si="17"/>
        <v>0</v>
      </c>
      <c r="HY26" s="68">
        <f t="shared" si="17"/>
        <v>0</v>
      </c>
      <c r="HZ26" s="68">
        <f t="shared" si="17"/>
        <v>0</v>
      </c>
      <c r="IA26" s="68">
        <f t="shared" si="17"/>
        <v>0</v>
      </c>
      <c r="IB26" s="68">
        <f t="shared" si="17"/>
        <v>0</v>
      </c>
      <c r="IC26" s="68">
        <f t="shared" si="17"/>
        <v>0</v>
      </c>
      <c r="ID26" s="68">
        <f t="shared" si="17"/>
        <v>0</v>
      </c>
      <c r="IE26" s="68">
        <f t="shared" si="17"/>
        <v>0</v>
      </c>
      <c r="IF26" s="68">
        <f t="shared" si="17"/>
        <v>0</v>
      </c>
      <c r="IG26" s="68">
        <f t="shared" si="17"/>
        <v>0</v>
      </c>
      <c r="IH26" s="68">
        <f t="shared" si="17"/>
        <v>0</v>
      </c>
      <c r="II26" s="68">
        <f t="shared" si="17"/>
        <v>0</v>
      </c>
      <c r="IJ26" s="68">
        <f t="shared" si="17"/>
        <v>0</v>
      </c>
      <c r="IK26" s="68">
        <f t="shared" si="17"/>
        <v>0</v>
      </c>
      <c r="IL26" s="68">
        <f t="shared" si="17"/>
        <v>0</v>
      </c>
      <c r="IM26" s="68">
        <f t="shared" si="17"/>
        <v>0</v>
      </c>
      <c r="IN26" s="68">
        <f t="shared" si="17"/>
        <v>0</v>
      </c>
      <c r="IO26" s="68">
        <f t="shared" si="17"/>
        <v>0</v>
      </c>
      <c r="IP26" s="68">
        <f t="shared" si="17"/>
        <v>0</v>
      </c>
      <c r="IQ26" s="68">
        <f t="shared" si="17"/>
        <v>0</v>
      </c>
      <c r="IR26" s="68">
        <f t="shared" si="17"/>
        <v>0</v>
      </c>
      <c r="IS26" s="68">
        <f t="shared" si="17"/>
        <v>0</v>
      </c>
      <c r="IT26" s="68">
        <f t="shared" si="17"/>
        <v>0</v>
      </c>
      <c r="IU26" s="68">
        <f t="shared" si="17"/>
        <v>0</v>
      </c>
      <c r="IV26" s="68">
        <f t="shared" si="17"/>
        <v>0</v>
      </c>
      <c r="IW26" s="68">
        <f t="shared" si="17"/>
        <v>0</v>
      </c>
    </row>
    <row r="27" spans="1:257" ht="30.75" customHeight="1">
      <c r="A27" s="399" t="str">
        <f>UPPER("DETAILS OF PAY &amp; ALLOWANCES FROM "&amp;TEXT(EDATE(Data!Y2,2),"DD MMMM YYYY")&amp;" TO "&amp;TEXT(EDATE(Data!Y2,14)-1,"DD MMMM YYYY"))</f>
        <v>DETAILS OF PAY &amp; ALLOWANCES FROM 01 MARCH 2013 TO 28 FEBRUARY 2014</v>
      </c>
      <c r="B27" s="399"/>
      <c r="C27" s="399"/>
      <c r="D27" s="399"/>
      <c r="E27" s="399"/>
      <c r="F27" s="399"/>
      <c r="G27" s="399"/>
      <c r="H27" s="399"/>
      <c r="I27" s="399"/>
      <c r="J27" s="399"/>
      <c r="K27" s="399"/>
      <c r="L27" s="399"/>
      <c r="M27" s="399"/>
      <c r="N27" s="399"/>
      <c r="O27" s="399"/>
    </row>
    <row r="28" spans="1:257" s="3" customFormat="1" ht="18" customHeight="1">
      <c r="A28" s="60" t="s">
        <v>214</v>
      </c>
      <c r="B28" s="402" t="str">
        <f>"Total Gross Salary including H.R.A. during the year "&amp;Data!Y3</f>
        <v>Total Gross Salary including H.R.A. during the year 2013-14</v>
      </c>
      <c r="C28" s="402"/>
      <c r="D28" s="402"/>
      <c r="E28" s="402"/>
      <c r="F28" s="402"/>
      <c r="G28" s="402"/>
      <c r="H28" s="402"/>
      <c r="I28" s="402"/>
      <c r="J28" s="402"/>
      <c r="K28" s="402"/>
      <c r="L28" s="402"/>
      <c r="M28" s="403">
        <f>J26</f>
        <v>395305</v>
      </c>
      <c r="N28" s="403"/>
      <c r="O28" s="58"/>
    </row>
    <row r="29" spans="1:257" s="3" customFormat="1" ht="27" customHeight="1">
      <c r="A29" s="60" t="s">
        <v>215</v>
      </c>
      <c r="B29" s="402" t="s">
        <v>216</v>
      </c>
      <c r="C29" s="402"/>
      <c r="D29" s="402"/>
      <c r="E29" s="402"/>
      <c r="F29" s="402"/>
      <c r="G29" s="402"/>
      <c r="H29" s="402"/>
      <c r="I29" s="402"/>
      <c r="J29" s="402"/>
      <c r="K29" s="402"/>
      <c r="L29" s="402"/>
      <c r="M29" s="403">
        <v>0</v>
      </c>
      <c r="N29" s="403"/>
      <c r="O29" s="58"/>
    </row>
    <row r="30" spans="1:257" s="4" customFormat="1" ht="20.25" customHeight="1">
      <c r="A30" s="59"/>
      <c r="B30" s="59"/>
      <c r="C30" s="59"/>
      <c r="D30" s="59"/>
      <c r="E30" s="59"/>
      <c r="F30" s="59"/>
      <c r="G30" s="59"/>
      <c r="H30" s="59"/>
      <c r="I30" s="59"/>
      <c r="J30" s="59"/>
      <c r="K30" s="59"/>
      <c r="L30" s="71" t="s">
        <v>217</v>
      </c>
      <c r="M30" s="397">
        <f>SUM(M28:M29)</f>
        <v>395305</v>
      </c>
      <c r="N30" s="397"/>
      <c r="O30" s="64"/>
    </row>
    <row r="31" spans="1:257" s="61" customFormat="1" ht="50.1" customHeight="1">
      <c r="A31" s="125" t="s">
        <v>545</v>
      </c>
      <c r="M31" s="62"/>
      <c r="N31" s="62"/>
      <c r="O31" s="63" t="s">
        <v>46</v>
      </c>
    </row>
    <row r="32" spans="1:257" ht="33.75" customHeight="1"/>
  </sheetData>
  <sheetProtection sheet="1" objects="1" scenarios="1" formatColumns="0" formatRows="0" selectLockedCells="1"/>
  <mergeCells count="19">
    <mergeCell ref="A1:O1"/>
    <mergeCell ref="A2:O2"/>
    <mergeCell ref="A4:A5"/>
    <mergeCell ref="B4:B5"/>
    <mergeCell ref="C4:C5"/>
    <mergeCell ref="D4:D5"/>
    <mergeCell ref="F4:F5"/>
    <mergeCell ref="G4:G5"/>
    <mergeCell ref="J4:J5"/>
    <mergeCell ref="H4:H5"/>
    <mergeCell ref="I4:I5"/>
    <mergeCell ref="K4:O4"/>
    <mergeCell ref="E4:E5"/>
    <mergeCell ref="M30:N30"/>
    <mergeCell ref="A27:O27"/>
    <mergeCell ref="B28:L28"/>
    <mergeCell ref="B29:L29"/>
    <mergeCell ref="M28:N28"/>
    <mergeCell ref="M29:N29"/>
  </mergeCells>
  <phoneticPr fontId="76" type="noConversion"/>
  <dataValidations count="1">
    <dataValidation type="whole" operator="greaterThanOrEqual" allowBlank="1" showInputMessage="1" showErrorMessage="1" sqref="K20:N25 B20:I25">
      <formula1>0</formula1>
    </dataValidation>
  </dataValidations>
  <printOptions horizontalCentered="1"/>
  <pageMargins left="0.23" right="0.26" top="0.67" bottom="0.74" header="0.39" footer="0.4"/>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4"/>
  <dimension ref="A1:N78"/>
  <sheetViews>
    <sheetView showGridLines="0" workbookViewId="0">
      <selection activeCell="I23" sqref="I23"/>
    </sheetView>
  </sheetViews>
  <sheetFormatPr defaultColWidth="0" defaultRowHeight="0" customHeight="1" zeroHeight="1"/>
  <cols>
    <col min="1" max="3" width="3.7109375" style="20" customWidth="1"/>
    <col min="4" max="4" width="25.7109375" style="21" customWidth="1"/>
    <col min="5" max="5" width="8.42578125" style="21" customWidth="1"/>
    <col min="6" max="6" width="7.140625" style="21" customWidth="1"/>
    <col min="7" max="7" width="6.5703125" style="21" customWidth="1"/>
    <col min="8" max="8" width="3.28515625" style="22" customWidth="1"/>
    <col min="9" max="9" width="8.7109375" style="23" customWidth="1"/>
    <col min="10" max="10" width="3.28515625" style="24" customWidth="1"/>
    <col min="11" max="11" width="8.42578125" style="23" customWidth="1"/>
    <col min="12" max="12" width="3.7109375" style="7" customWidth="1"/>
    <col min="13" max="13" width="8.7109375" style="7" hidden="1" customWidth="1"/>
    <col min="14" max="16384" width="0" style="7" hidden="1"/>
  </cols>
  <sheetData>
    <row r="1" spans="1:14" ht="28.5" customHeight="1">
      <c r="A1" s="421" t="str">
        <f>"Office of  "&amp;PROPER(Data!AB29)</f>
        <v>Office of  Z.P.P.High School, Isukapudi</v>
      </c>
      <c r="B1" s="421"/>
      <c r="C1" s="421"/>
      <c r="D1" s="421"/>
      <c r="E1" s="421"/>
      <c r="F1" s="421"/>
      <c r="G1" s="421"/>
      <c r="H1" s="421"/>
      <c r="I1" s="421"/>
      <c r="J1" s="421"/>
      <c r="K1" s="421"/>
    </row>
    <row r="2" spans="1:14" ht="20.100000000000001" customHeight="1">
      <c r="A2" s="422" t="str">
        <f>"INCOME TAX STATEMENT FOR THE YEAR 20"&amp;MID(Data!Y3,3,2)&amp;" - 20"&amp;MID(Data!Y3,6,2)</f>
        <v>INCOME TAX STATEMENT FOR THE YEAR 2013 - 2014</v>
      </c>
      <c r="B2" s="422"/>
      <c r="C2" s="422"/>
      <c r="D2" s="422"/>
      <c r="E2" s="422"/>
      <c r="F2" s="422"/>
      <c r="G2" s="422"/>
      <c r="H2" s="422"/>
      <c r="I2" s="422"/>
      <c r="J2" s="422"/>
      <c r="K2" s="422"/>
    </row>
    <row r="3" spans="1:14" ht="20.100000000000001" customHeight="1" thickBot="1">
      <c r="A3" s="423" t="s">
        <v>0</v>
      </c>
      <c r="B3" s="423"/>
      <c r="C3" s="423"/>
      <c r="D3" s="423"/>
      <c r="E3" s="423"/>
      <c r="F3" s="423"/>
      <c r="G3" s="423"/>
      <c r="H3" s="423"/>
      <c r="I3" s="423"/>
      <c r="J3" s="423"/>
      <c r="K3" s="423"/>
    </row>
    <row r="4" spans="1:14" ht="34.5" customHeight="1" thickBot="1">
      <c r="A4" s="8">
        <v>1</v>
      </c>
      <c r="B4" s="402" t="s">
        <v>218</v>
      </c>
      <c r="C4" s="402"/>
      <c r="D4" s="402"/>
      <c r="E4" s="402"/>
      <c r="G4" s="426" t="str">
        <f>PROPER(Data!D2)&amp;", "&amp;Data!D4&amp;","&amp;PROPER(Data!AB28)</f>
        <v>Nainala Srinivas, S.A.(Math's),H.No.3-4-34/5, Bank Colony, K.Agraharam, Amalapuram</v>
      </c>
      <c r="H4" s="427"/>
      <c r="I4" s="427"/>
      <c r="J4" s="427"/>
      <c r="K4" s="428"/>
    </row>
    <row r="5" spans="1:14" ht="18" customHeight="1" thickBot="1">
      <c r="A5" s="8"/>
      <c r="B5" s="424" t="s">
        <v>1</v>
      </c>
      <c r="C5" s="425"/>
      <c r="D5" s="98" t="str">
        <f>UPPER(Data!D5)</f>
        <v>ACPPN5016Q</v>
      </c>
      <c r="E5" s="97"/>
      <c r="F5" s="97"/>
      <c r="G5" s="429"/>
      <c r="H5" s="430"/>
      <c r="I5" s="430"/>
      <c r="J5" s="430"/>
      <c r="K5" s="431"/>
    </row>
    <row r="6" spans="1:14" ht="39.950000000000003" customHeight="1">
      <c r="A6" s="8">
        <v>2</v>
      </c>
      <c r="B6" s="402" t="s">
        <v>518</v>
      </c>
      <c r="C6" s="402"/>
      <c r="D6" s="402"/>
      <c r="E6" s="402"/>
      <c r="F6" s="402"/>
      <c r="G6" s="402"/>
      <c r="H6" s="10"/>
      <c r="I6" s="420" t="str">
        <f>IF(Data!D36=0,"Own House", " Rented House")</f>
        <v xml:space="preserve"> Rented House</v>
      </c>
      <c r="J6" s="420"/>
      <c r="K6" s="420"/>
    </row>
    <row r="7" spans="1:14" ht="54" customHeight="1">
      <c r="A7" s="8">
        <v>3</v>
      </c>
      <c r="B7" s="402" t="str">
        <f>"Pay and allowance including H.R.A. paid or payable including value of rent free accommodation for the year "&amp;Data!Y3&amp;" ( salaries of March 20"&amp;MID(Data!Y3,3,2)&amp;" to February 20"&amp;MID(Data!Y3,6,2)&amp;" including income from other sources and including arrears shall be enclosed )"</f>
        <v>Pay and allowance including H.R.A. paid or payable including value of rent free accommodation for the year 2013-14 ( salaries of March 2013 to February 2014 including income from other sources and including arrears shall be enclosed )</v>
      </c>
      <c r="C7" s="402"/>
      <c r="D7" s="402"/>
      <c r="E7" s="402"/>
      <c r="F7" s="402"/>
      <c r="G7" s="402"/>
      <c r="H7" s="10"/>
      <c r="I7" s="11"/>
      <c r="J7" s="94" t="s">
        <v>45</v>
      </c>
      <c r="K7" s="120">
        <f>'Table-2'!M28</f>
        <v>395305</v>
      </c>
      <c r="N7" s="15"/>
    </row>
    <row r="8" spans="1:14" ht="15.95" customHeight="1">
      <c r="A8" s="8">
        <v>4</v>
      </c>
      <c r="B8" s="402" t="s">
        <v>2</v>
      </c>
      <c r="C8" s="402"/>
      <c r="D8" s="402"/>
      <c r="E8" s="402"/>
      <c r="F8" s="402"/>
      <c r="G8" s="402"/>
      <c r="H8" s="10"/>
      <c r="I8" s="12"/>
      <c r="J8" s="94"/>
      <c r="K8" s="12"/>
    </row>
    <row r="9" spans="1:14" ht="15.95" customHeight="1">
      <c r="A9" s="8"/>
      <c r="B9" s="8" t="s">
        <v>3</v>
      </c>
      <c r="C9" s="402" t="str">
        <f>"Actual amount of H.R.A. received during "&amp;Data!Y3</f>
        <v>Actual amount of H.R.A. received during 2013-14</v>
      </c>
      <c r="D9" s="402"/>
      <c r="E9" s="402"/>
      <c r="F9" s="402"/>
      <c r="G9" s="402"/>
      <c r="H9" s="10"/>
      <c r="I9" s="12"/>
      <c r="J9" s="94" t="s">
        <v>45</v>
      </c>
      <c r="K9" s="12">
        <f>'Table-2'!F26+'Table-2'!H26</f>
        <v>26637</v>
      </c>
    </row>
    <row r="10" spans="1:14" ht="15.95" customHeight="1">
      <c r="A10" s="8"/>
      <c r="B10" s="8" t="s">
        <v>4</v>
      </c>
      <c r="C10" s="402" t="s">
        <v>5</v>
      </c>
      <c r="D10" s="402"/>
      <c r="E10" s="402"/>
      <c r="F10" s="402"/>
      <c r="G10" s="402"/>
      <c r="H10" s="10"/>
      <c r="I10" s="12"/>
      <c r="J10" s="95"/>
      <c r="K10" s="12"/>
    </row>
    <row r="11" spans="1:14" ht="15.95" customHeight="1">
      <c r="A11" s="8"/>
      <c r="B11" s="8"/>
      <c r="C11" s="8" t="s">
        <v>6</v>
      </c>
      <c r="D11" s="402" t="s">
        <v>7</v>
      </c>
      <c r="E11" s="402"/>
      <c r="F11" s="402"/>
      <c r="G11" s="402"/>
      <c r="H11" s="94" t="s">
        <v>45</v>
      </c>
      <c r="I11" s="12">
        <f>Data!D36*12</f>
        <v>78000</v>
      </c>
      <c r="J11" s="94"/>
      <c r="K11" s="12"/>
    </row>
    <row r="12" spans="1:14" ht="15.95" customHeight="1">
      <c r="A12" s="8"/>
      <c r="B12" s="8"/>
      <c r="C12" s="8" t="s">
        <v>8</v>
      </c>
      <c r="D12" s="402" t="s">
        <v>612</v>
      </c>
      <c r="E12" s="402"/>
      <c r="F12" s="402"/>
      <c r="G12" s="402"/>
      <c r="H12" s="94" t="s">
        <v>45</v>
      </c>
      <c r="I12" s="12">
        <f>IF(I11=0,0,ROUND(('Table-2'!B26+'Table-2'!D26+'Table-2'!H26)*10%,0))</f>
        <v>35893</v>
      </c>
      <c r="J12" s="94"/>
      <c r="K12" s="12"/>
    </row>
    <row r="13" spans="1:14" ht="15.95" customHeight="1">
      <c r="A13" s="8"/>
      <c r="B13" s="8"/>
      <c r="C13" s="8"/>
      <c r="D13" s="402" t="s">
        <v>75</v>
      </c>
      <c r="E13" s="402"/>
      <c r="F13" s="402"/>
      <c r="G13" s="402"/>
      <c r="H13" s="94" t="s">
        <v>45</v>
      </c>
      <c r="I13" s="119">
        <f>I11-I12</f>
        <v>42107</v>
      </c>
      <c r="J13" s="94"/>
      <c r="K13" s="12"/>
    </row>
    <row r="14" spans="1:14" ht="15.95" customHeight="1">
      <c r="A14" s="8"/>
      <c r="B14" s="8" t="s">
        <v>9</v>
      </c>
      <c r="C14" s="402" t="s">
        <v>232</v>
      </c>
      <c r="D14" s="402"/>
      <c r="E14" s="402"/>
      <c r="F14" s="402"/>
      <c r="G14" s="402"/>
      <c r="H14" s="94" t="s">
        <v>45</v>
      </c>
      <c r="I14" s="12">
        <f>ROUND(('Table-1'!B26+'Table-1'!D26)*40%,0)</f>
        <v>143573</v>
      </c>
      <c r="J14" s="94"/>
      <c r="K14" s="12"/>
    </row>
    <row r="15" spans="1:14" ht="15.95" customHeight="1">
      <c r="A15" s="8"/>
      <c r="B15" s="402" t="s">
        <v>231</v>
      </c>
      <c r="C15" s="402"/>
      <c r="D15" s="402"/>
      <c r="E15" s="402"/>
      <c r="F15" s="402"/>
      <c r="G15" s="402"/>
      <c r="H15" s="94"/>
      <c r="I15" s="12"/>
      <c r="J15" s="94" t="s">
        <v>45</v>
      </c>
      <c r="K15" s="12">
        <f>IF(Data!D36=0,0,MIN(K9,I13,I14))</f>
        <v>26637</v>
      </c>
    </row>
    <row r="16" spans="1:14" ht="15.95" customHeight="1">
      <c r="A16" s="8">
        <v>5</v>
      </c>
      <c r="B16" s="402" t="str">
        <f>"Gross salary income for "&amp;Data!Y3&amp;" (col.3-4)"</f>
        <v>Gross salary income for 2013-14 (col.3-4)</v>
      </c>
      <c r="C16" s="402"/>
      <c r="D16" s="402"/>
      <c r="E16" s="402"/>
      <c r="F16" s="402"/>
      <c r="G16" s="402"/>
      <c r="H16" s="94"/>
      <c r="I16" s="12"/>
      <c r="J16" s="94" t="s">
        <v>45</v>
      </c>
      <c r="K16" s="12">
        <f>K7-K15</f>
        <v>368668</v>
      </c>
      <c r="M16" s="15"/>
    </row>
    <row r="17" spans="1:13" ht="15.95" customHeight="1">
      <c r="A17" s="8">
        <v>6</v>
      </c>
      <c r="B17" s="402" t="s">
        <v>10</v>
      </c>
      <c r="C17" s="402"/>
      <c r="D17" s="402"/>
      <c r="E17" s="402"/>
      <c r="F17" s="402"/>
      <c r="G17" s="402"/>
      <c r="H17" s="94" t="s">
        <v>45</v>
      </c>
      <c r="I17" s="12">
        <f>'Table-1'!M26</f>
        <v>2400</v>
      </c>
    </row>
    <row r="18" spans="1:13" ht="27.95" customHeight="1">
      <c r="A18" s="8">
        <v>7</v>
      </c>
      <c r="B18" s="402" t="s">
        <v>485</v>
      </c>
      <c r="C18" s="402"/>
      <c r="D18" s="402"/>
      <c r="E18" s="402"/>
      <c r="F18" s="402"/>
      <c r="G18" s="402"/>
      <c r="H18" s="94" t="s">
        <v>45</v>
      </c>
      <c r="I18" s="339">
        <f>'Form No.16'!I17+'Form No.16'!I18+MIN(Data!M12,150000)</f>
        <v>0</v>
      </c>
      <c r="J18" s="94"/>
    </row>
    <row r="19" spans="1:13" ht="15.95" customHeight="1">
      <c r="A19" s="8">
        <v>8</v>
      </c>
      <c r="B19" s="402" t="s">
        <v>48</v>
      </c>
      <c r="C19" s="402"/>
      <c r="D19" s="402"/>
      <c r="E19" s="402"/>
      <c r="F19" s="402"/>
      <c r="G19" s="402"/>
      <c r="H19" s="94"/>
      <c r="I19" s="12"/>
      <c r="J19" s="94" t="s">
        <v>45</v>
      </c>
      <c r="K19" s="120">
        <f>K16-I17-I18</f>
        <v>366268</v>
      </c>
      <c r="M19" s="15"/>
    </row>
    <row r="20" spans="1:13" ht="15.95" customHeight="1">
      <c r="A20" s="8">
        <v>9</v>
      </c>
      <c r="B20" s="402" t="s">
        <v>11</v>
      </c>
      <c r="C20" s="402"/>
      <c r="D20" s="402"/>
      <c r="E20" s="402"/>
      <c r="F20" s="402"/>
      <c r="G20" s="402"/>
      <c r="H20" s="94"/>
      <c r="I20" s="12"/>
      <c r="J20" s="95"/>
      <c r="K20" s="12"/>
    </row>
    <row r="21" spans="1:13" ht="15.95" customHeight="1">
      <c r="A21" s="8"/>
      <c r="C21" s="402" t="s">
        <v>12</v>
      </c>
      <c r="D21" s="402"/>
      <c r="E21" s="402"/>
      <c r="F21" s="402"/>
      <c r="G21" s="402"/>
      <c r="H21" s="94" t="s">
        <v>45</v>
      </c>
      <c r="I21" s="12">
        <f>Data!M2</f>
        <v>0</v>
      </c>
    </row>
    <row r="22" spans="1:13" ht="15.95" customHeight="1">
      <c r="A22" s="8"/>
      <c r="C22" s="402" t="s">
        <v>597</v>
      </c>
      <c r="D22" s="402"/>
      <c r="E22" s="402"/>
      <c r="F22" s="402"/>
      <c r="G22" s="402"/>
      <c r="H22" s="94" t="s">
        <v>45</v>
      </c>
      <c r="I22" s="12">
        <f>Data!M3</f>
        <v>0</v>
      </c>
    </row>
    <row r="23" spans="1:13" ht="15.95" customHeight="1">
      <c r="A23" s="8"/>
      <c r="C23" s="402" t="s">
        <v>13</v>
      </c>
      <c r="D23" s="402"/>
      <c r="E23" s="402"/>
      <c r="F23" s="402"/>
      <c r="G23" s="402"/>
      <c r="H23" s="94" t="s">
        <v>45</v>
      </c>
      <c r="I23" s="339">
        <f>Data!M4+Data!M5</f>
        <v>0</v>
      </c>
      <c r="K23" s="150"/>
    </row>
    <row r="24" spans="1:13" ht="15.95" customHeight="1">
      <c r="A24" s="8"/>
      <c r="B24" s="402" t="s">
        <v>14</v>
      </c>
      <c r="C24" s="402"/>
      <c r="D24" s="402"/>
      <c r="E24" s="402"/>
      <c r="F24" s="402"/>
      <c r="G24" s="402"/>
      <c r="H24" s="94" t="s">
        <v>45</v>
      </c>
      <c r="I24" s="12">
        <f>SUM(I21:I23)</f>
        <v>0</v>
      </c>
      <c r="J24" s="94" t="s">
        <v>45</v>
      </c>
      <c r="K24" s="12">
        <f>I24</f>
        <v>0</v>
      </c>
    </row>
    <row r="25" spans="1:13" ht="20.100000000000001" customHeight="1">
      <c r="A25" s="8">
        <v>10</v>
      </c>
      <c r="B25" s="402" t="s">
        <v>15</v>
      </c>
      <c r="C25" s="402"/>
      <c r="D25" s="402"/>
      <c r="E25" s="402"/>
      <c r="F25" s="402"/>
      <c r="G25" s="402"/>
      <c r="H25" s="94"/>
      <c r="I25" s="12"/>
      <c r="J25" s="94" t="s">
        <v>45</v>
      </c>
      <c r="K25" s="14">
        <f>K19+K24</f>
        <v>366268</v>
      </c>
    </row>
    <row r="26" spans="1:13" ht="18" customHeight="1">
      <c r="A26" s="8">
        <v>11</v>
      </c>
      <c r="B26" s="419" t="s">
        <v>16</v>
      </c>
      <c r="C26" s="419"/>
      <c r="D26" s="419"/>
      <c r="E26" s="419"/>
      <c r="F26" s="419"/>
      <c r="G26" s="419"/>
      <c r="H26" s="94"/>
      <c r="I26" s="12"/>
      <c r="J26" s="95"/>
      <c r="K26" s="12"/>
    </row>
    <row r="27" spans="1:13" ht="16.5" customHeight="1">
      <c r="A27" s="8"/>
      <c r="B27" s="8">
        <v>1</v>
      </c>
      <c r="C27" s="402" t="s">
        <v>76</v>
      </c>
      <c r="D27" s="402"/>
      <c r="E27" s="402"/>
      <c r="F27" s="402"/>
      <c r="G27" s="123"/>
      <c r="H27" s="94" t="s">
        <v>45</v>
      </c>
      <c r="I27" s="12">
        <f>K55</f>
        <v>100000</v>
      </c>
      <c r="J27" s="95"/>
      <c r="K27" s="12"/>
    </row>
    <row r="28" spans="1:13" ht="16.5" customHeight="1">
      <c r="A28" s="8"/>
      <c r="B28" s="8">
        <v>2</v>
      </c>
      <c r="C28" s="402" t="str">
        <f>IFERROR("U/Section "&amp;VLOOKUP(B28,Data!T$13:U$23,2,FALSE),"")</f>
        <v>U/Section 80 G</v>
      </c>
      <c r="D28" s="402"/>
      <c r="E28" s="402"/>
      <c r="F28" s="402"/>
      <c r="G28" s="123"/>
      <c r="H28" s="94" t="s">
        <v>45</v>
      </c>
      <c r="I28" s="12">
        <f>IFERROR(VLOOKUP(B28,Data!T$13:V$23,3,FALSE),"")</f>
        <v>40</v>
      </c>
      <c r="J28" s="95"/>
      <c r="K28" s="12"/>
    </row>
    <row r="29" spans="1:13" ht="16.5" customHeight="1">
      <c r="A29" s="8"/>
      <c r="B29" s="8">
        <v>3</v>
      </c>
      <c r="C29" s="402" t="str">
        <f>IFERROR("U/Section "&amp;VLOOKUP(B29,Data!T$13:U$23,2,FALSE),"")</f>
        <v/>
      </c>
      <c r="D29" s="402"/>
      <c r="E29" s="402"/>
      <c r="F29" s="402"/>
      <c r="G29" s="123"/>
      <c r="H29" s="94" t="s">
        <v>45</v>
      </c>
      <c r="I29" s="12" t="str">
        <f>IFERROR(VLOOKUP(B29,Data!T$13:V$23,3,FALSE),"")</f>
        <v/>
      </c>
      <c r="J29" s="95"/>
      <c r="K29" s="12"/>
    </row>
    <row r="30" spans="1:13" ht="16.5" customHeight="1">
      <c r="A30" s="8"/>
      <c r="B30" s="8">
        <v>4</v>
      </c>
      <c r="C30" s="402" t="str">
        <f>IFERROR("U/Section "&amp;VLOOKUP(B30,Data!T$13:U$23,2,FALSE),"")</f>
        <v/>
      </c>
      <c r="D30" s="402"/>
      <c r="E30" s="402"/>
      <c r="F30" s="402"/>
      <c r="G30" s="123"/>
      <c r="H30" s="94" t="s">
        <v>45</v>
      </c>
      <c r="I30" s="12" t="str">
        <f>IFERROR(VLOOKUP(B30,Data!T$13:V$23,3,FALSE),"")</f>
        <v/>
      </c>
      <c r="J30" s="95"/>
      <c r="K30" s="12"/>
    </row>
    <row r="31" spans="1:13" ht="16.5" customHeight="1">
      <c r="A31" s="8"/>
      <c r="B31" s="8">
        <v>5</v>
      </c>
      <c r="C31" s="402" t="str">
        <f>IFERROR("U/Section "&amp;VLOOKUP(B31,Data!T$13:U$23,2,FALSE),"")</f>
        <v/>
      </c>
      <c r="D31" s="402"/>
      <c r="E31" s="402"/>
      <c r="F31" s="402"/>
      <c r="G31" s="123"/>
      <c r="H31" s="94" t="s">
        <v>45</v>
      </c>
      <c r="I31" s="12" t="str">
        <f>IFERROR(VLOOKUP(B31,Data!T$13:V$23,3,FALSE),"")</f>
        <v/>
      </c>
      <c r="J31" s="95"/>
      <c r="K31" s="12"/>
    </row>
    <row r="32" spans="1:13" ht="16.5" customHeight="1">
      <c r="A32" s="8"/>
      <c r="B32" s="8">
        <v>6</v>
      </c>
      <c r="C32" s="402" t="str">
        <f>IFERROR("U/Section "&amp;VLOOKUP(B32,Data!T$13:U$23,2,FALSE),"")</f>
        <v/>
      </c>
      <c r="D32" s="402"/>
      <c r="E32" s="402"/>
      <c r="F32" s="402"/>
      <c r="G32" s="123"/>
      <c r="H32" s="94" t="s">
        <v>45</v>
      </c>
      <c r="I32" s="12" t="str">
        <f>IFERROR(VLOOKUP(B32,Data!T$13:V$23,3,FALSE),"")</f>
        <v/>
      </c>
      <c r="J32" s="95"/>
      <c r="K32" s="12"/>
    </row>
    <row r="33" spans="1:13" ht="16.5" customHeight="1">
      <c r="A33" s="8"/>
      <c r="B33" s="8">
        <v>7</v>
      </c>
      <c r="C33" s="402" t="str">
        <f>IFERROR("U/Section "&amp;VLOOKUP(B33,Data!T$13:U$23,2,FALSE),"")</f>
        <v/>
      </c>
      <c r="D33" s="402"/>
      <c r="E33" s="402"/>
      <c r="F33" s="402"/>
      <c r="G33" s="123"/>
      <c r="H33" s="94" t="s">
        <v>45</v>
      </c>
      <c r="I33" s="12" t="str">
        <f>IFERROR(VLOOKUP(B33,Data!T$13:V$23,3,FALSE),"")</f>
        <v/>
      </c>
      <c r="J33" s="95"/>
      <c r="K33" s="12"/>
    </row>
    <row r="34" spans="1:13" ht="16.5" customHeight="1">
      <c r="A34" s="8"/>
      <c r="B34" s="8">
        <v>8</v>
      </c>
      <c r="C34" s="402" t="str">
        <f>IFERROR("U/Section "&amp;VLOOKUP(B34,Data!T$13:U$23,2,FALSE),"")</f>
        <v/>
      </c>
      <c r="D34" s="402"/>
      <c r="E34" s="402"/>
      <c r="F34" s="402"/>
      <c r="G34" s="123"/>
      <c r="H34" s="94" t="s">
        <v>45</v>
      </c>
      <c r="I34" s="12" t="str">
        <f>IFERROR(VLOOKUP(B34,Data!T$13:V$23,3,FALSE),"")</f>
        <v/>
      </c>
      <c r="J34" s="95"/>
      <c r="K34" s="12"/>
    </row>
    <row r="35" spans="1:13" ht="15.75" customHeight="1">
      <c r="A35" s="8">
        <v>12</v>
      </c>
      <c r="B35" s="402" t="s">
        <v>34</v>
      </c>
      <c r="C35" s="402"/>
      <c r="D35" s="402"/>
      <c r="E35" s="402"/>
      <c r="F35" s="402"/>
      <c r="G35" s="402"/>
      <c r="H35" s="94" t="s">
        <v>45</v>
      </c>
      <c r="I35" s="14">
        <f>SUM(I27:I34)</f>
        <v>100040</v>
      </c>
      <c r="J35" s="94" t="s">
        <v>45</v>
      </c>
      <c r="K35" s="14">
        <f>I35</f>
        <v>100040</v>
      </c>
    </row>
    <row r="36" spans="1:13" ht="15.75" customHeight="1">
      <c r="A36" s="8">
        <v>13</v>
      </c>
      <c r="B36" s="402" t="s">
        <v>35</v>
      </c>
      <c r="C36" s="402"/>
      <c r="D36" s="402"/>
      <c r="E36" s="402"/>
      <c r="F36" s="402"/>
      <c r="G36" s="402"/>
      <c r="H36" s="94"/>
      <c r="I36" s="12"/>
      <c r="J36" s="94" t="s">
        <v>45</v>
      </c>
      <c r="K36" s="14">
        <f>MAX(K25-K35,0)</f>
        <v>266228</v>
      </c>
      <c r="M36" s="15"/>
    </row>
    <row r="37" spans="1:13" s="26" customFormat="1" ht="15.75" customHeight="1">
      <c r="A37" s="25">
        <v>14</v>
      </c>
      <c r="B37" s="419" t="s">
        <v>36</v>
      </c>
      <c r="C37" s="419"/>
      <c r="D37" s="419"/>
      <c r="E37" s="419"/>
      <c r="F37" s="419"/>
      <c r="G37" s="419"/>
      <c r="H37" s="96"/>
      <c r="I37" s="14"/>
      <c r="J37" s="96" t="s">
        <v>45</v>
      </c>
      <c r="K37" s="14">
        <f>Data!AY15</f>
        <v>6623</v>
      </c>
      <c r="M37" s="121"/>
    </row>
    <row r="38" spans="1:13" ht="20.100000000000001" customHeight="1">
      <c r="A38" s="8">
        <v>15</v>
      </c>
      <c r="B38" s="402" t="s">
        <v>519</v>
      </c>
      <c r="C38" s="402"/>
      <c r="D38" s="402"/>
      <c r="E38" s="402"/>
      <c r="F38" s="402"/>
      <c r="G38" s="402"/>
      <c r="H38" s="94"/>
      <c r="I38" s="12"/>
      <c r="J38" s="95"/>
      <c r="K38" s="12"/>
      <c r="L38" s="7" t="s">
        <v>437</v>
      </c>
    </row>
    <row r="39" spans="1:13" ht="15.95" customHeight="1">
      <c r="A39" s="8"/>
      <c r="B39" s="10" t="s">
        <v>17</v>
      </c>
      <c r="C39" s="415" t="str">
        <f>'Table-1'!I5</f>
        <v>Z.P.P.F.</v>
      </c>
      <c r="D39" s="415"/>
      <c r="E39" s="415"/>
      <c r="F39" s="415"/>
      <c r="G39" s="415"/>
      <c r="H39" s="94" t="s">
        <v>45</v>
      </c>
      <c r="I39" s="12">
        <f>'Table-2'!K26</f>
        <v>33310</v>
      </c>
      <c r="J39" s="95"/>
      <c r="K39" s="12"/>
      <c r="M39" s="15"/>
    </row>
    <row r="40" spans="1:13" ht="15.95" customHeight="1">
      <c r="A40" s="8"/>
      <c r="B40" s="10" t="s">
        <v>19</v>
      </c>
      <c r="C40" s="415" t="s">
        <v>22</v>
      </c>
      <c r="D40" s="415"/>
      <c r="E40" s="415"/>
      <c r="F40" s="415"/>
      <c r="G40" s="415"/>
      <c r="H40" s="94" t="s">
        <v>45</v>
      </c>
      <c r="I40" s="12">
        <f>'Table-2'!L26</f>
        <v>12000</v>
      </c>
      <c r="J40" s="95"/>
      <c r="K40" s="12"/>
    </row>
    <row r="41" spans="1:13" ht="15.95" customHeight="1">
      <c r="A41" s="8"/>
      <c r="B41" s="10" t="s">
        <v>20</v>
      </c>
      <c r="C41" s="415" t="s">
        <v>25</v>
      </c>
      <c r="D41" s="415"/>
      <c r="E41" s="415"/>
      <c r="F41" s="415"/>
      <c r="G41" s="415"/>
      <c r="H41" s="94" t="s">
        <v>45</v>
      </c>
      <c r="I41" s="12">
        <f>'Table-2'!M26</f>
        <v>720</v>
      </c>
      <c r="J41" s="95"/>
      <c r="K41" s="12"/>
    </row>
    <row r="42" spans="1:13" ht="15.95" customHeight="1">
      <c r="A42" s="8"/>
      <c r="B42" s="10" t="s">
        <v>21</v>
      </c>
      <c r="C42" s="415" t="str">
        <f>Data!P10</f>
        <v xml:space="preserve">L.I.C. </v>
      </c>
      <c r="D42" s="415"/>
      <c r="E42" s="415"/>
      <c r="F42" s="415"/>
      <c r="G42" s="415"/>
      <c r="H42" s="94" t="s">
        <v>45</v>
      </c>
      <c r="I42" s="12">
        <f>Data!Q10</f>
        <v>5000</v>
      </c>
      <c r="J42" s="95"/>
      <c r="K42" s="12"/>
    </row>
    <row r="43" spans="1:13" ht="15.95" customHeight="1">
      <c r="A43" s="8"/>
      <c r="B43" s="10" t="s">
        <v>23</v>
      </c>
      <c r="C43" s="415" t="str">
        <f>Data!P11</f>
        <v>U.L.I.P.</v>
      </c>
      <c r="D43" s="415"/>
      <c r="E43" s="415"/>
      <c r="F43" s="415"/>
      <c r="G43" s="415"/>
      <c r="H43" s="94" t="s">
        <v>45</v>
      </c>
      <c r="I43" s="12">
        <f>Data!Q11</f>
        <v>0</v>
      </c>
      <c r="J43" s="95"/>
      <c r="K43" s="12"/>
    </row>
    <row r="44" spans="1:13" ht="15.95" customHeight="1">
      <c r="A44" s="8"/>
      <c r="B44" s="10" t="s">
        <v>24</v>
      </c>
      <c r="C44" s="415" t="str">
        <f>Data!P12</f>
        <v>S.B.I. Life Insurance</v>
      </c>
      <c r="D44" s="415"/>
      <c r="E44" s="415"/>
      <c r="F44" s="415"/>
      <c r="G44" s="415"/>
      <c r="H44" s="94" t="s">
        <v>45</v>
      </c>
      <c r="I44" s="12">
        <f>Data!Q12</f>
        <v>0</v>
      </c>
      <c r="J44" s="95"/>
      <c r="K44" s="12"/>
    </row>
    <row r="45" spans="1:13" ht="15.95" customHeight="1">
      <c r="A45" s="8"/>
      <c r="B45" s="10" t="s">
        <v>26</v>
      </c>
      <c r="C45" s="415" t="str">
        <f>Data!P13</f>
        <v>ICICI Savings Bonds</v>
      </c>
      <c r="D45" s="415"/>
      <c r="E45" s="415"/>
      <c r="F45" s="415"/>
      <c r="G45" s="415"/>
      <c r="H45" s="94" t="s">
        <v>45</v>
      </c>
      <c r="I45" s="12">
        <f>Data!Q13</f>
        <v>50000</v>
      </c>
      <c r="J45" s="95"/>
      <c r="K45" s="12"/>
    </row>
    <row r="46" spans="1:13" ht="15.95" customHeight="1">
      <c r="A46" s="8"/>
      <c r="B46" s="10" t="s">
        <v>27</v>
      </c>
      <c r="C46" s="415" t="str">
        <f>Data!P14</f>
        <v>IDBI Flexi Bonds</v>
      </c>
      <c r="D46" s="415"/>
      <c r="E46" s="415"/>
      <c r="F46" s="415"/>
      <c r="G46" s="415"/>
      <c r="H46" s="94" t="s">
        <v>45</v>
      </c>
      <c r="I46" s="12">
        <f>Data!Q14</f>
        <v>0</v>
      </c>
      <c r="J46" s="95"/>
      <c r="K46" s="12"/>
    </row>
    <row r="47" spans="1:13" ht="15.95" customHeight="1">
      <c r="A47" s="8"/>
      <c r="B47" s="10" t="s">
        <v>28</v>
      </c>
      <c r="C47" s="415" t="str">
        <f>Data!P15</f>
        <v>P.L.I.</v>
      </c>
      <c r="D47" s="415"/>
      <c r="E47" s="415"/>
      <c r="F47" s="415"/>
      <c r="G47" s="415"/>
      <c r="H47" s="94" t="s">
        <v>45</v>
      </c>
      <c r="I47" s="12">
        <f>Data!Q15</f>
        <v>0</v>
      </c>
      <c r="J47" s="95"/>
      <c r="K47" s="12"/>
    </row>
    <row r="48" spans="1:13" ht="15.95" customHeight="1">
      <c r="A48" s="8"/>
      <c r="B48" s="10" t="s">
        <v>29</v>
      </c>
      <c r="C48" s="415" t="str">
        <f>Data!P16</f>
        <v>Insurance premium &amp; others (MF, ULIP, FD, etc.)</v>
      </c>
      <c r="D48" s="415"/>
      <c r="E48" s="415"/>
      <c r="F48" s="415"/>
      <c r="G48" s="415"/>
      <c r="H48" s="94" t="s">
        <v>45</v>
      </c>
      <c r="I48" s="12">
        <f>Data!Q16</f>
        <v>0</v>
      </c>
      <c r="J48" s="95"/>
      <c r="K48" s="12"/>
    </row>
    <row r="49" spans="1:11" ht="15.95" customHeight="1">
      <c r="A49" s="8"/>
      <c r="B49" s="10" t="s">
        <v>30</v>
      </c>
      <c r="C49" s="415" t="str">
        <f>Data!P17</f>
        <v>National Savings Certificates</v>
      </c>
      <c r="D49" s="415"/>
      <c r="E49" s="415"/>
      <c r="F49" s="415"/>
      <c r="G49" s="415"/>
      <c r="H49" s="94" t="s">
        <v>45</v>
      </c>
      <c r="I49" s="12">
        <f>Data!Q17</f>
        <v>0</v>
      </c>
      <c r="J49" s="95"/>
      <c r="K49" s="12"/>
    </row>
    <row r="50" spans="1:11" ht="15.95" customHeight="1">
      <c r="A50" s="8"/>
      <c r="B50" s="10" t="s">
        <v>31</v>
      </c>
      <c r="C50" s="415" t="str">
        <f>Data!P18</f>
        <v>Public Provident Fund</v>
      </c>
      <c r="D50" s="415"/>
      <c r="E50" s="415"/>
      <c r="F50" s="415"/>
      <c r="G50" s="415"/>
      <c r="H50" s="94" t="s">
        <v>45</v>
      </c>
      <c r="I50" s="12">
        <f>Data!Q18</f>
        <v>0</v>
      </c>
      <c r="J50" s="95"/>
      <c r="K50" s="12"/>
    </row>
    <row r="51" spans="1:11" ht="15.95" customHeight="1">
      <c r="A51" s="8"/>
      <c r="B51" s="10" t="s">
        <v>32</v>
      </c>
      <c r="C51" s="415" t="str">
        <f>Data!P19</f>
        <v>Employees Provident Fund &amp; Voluntary PF</v>
      </c>
      <c r="D51" s="415"/>
      <c r="E51" s="415"/>
      <c r="F51" s="415"/>
      <c r="G51" s="415"/>
      <c r="H51" s="94" t="s">
        <v>45</v>
      </c>
      <c r="I51" s="12">
        <f>Data!Q19</f>
        <v>0</v>
      </c>
      <c r="J51" s="95"/>
      <c r="K51" s="12"/>
    </row>
    <row r="52" spans="1:11" ht="15.95" customHeight="1">
      <c r="A52" s="8"/>
      <c r="B52" s="10" t="s">
        <v>33</v>
      </c>
      <c r="C52" s="415" t="str">
        <f>Data!P20</f>
        <v>Children's Education Tuition Fees</v>
      </c>
      <c r="D52" s="415"/>
      <c r="E52" s="415"/>
      <c r="F52" s="415"/>
      <c r="G52" s="415"/>
      <c r="H52" s="94" t="s">
        <v>45</v>
      </c>
      <c r="I52" s="12">
        <f>Data!Q20</f>
        <v>20000</v>
      </c>
      <c r="J52" s="95"/>
      <c r="K52" s="12"/>
    </row>
    <row r="53" spans="1:11" ht="15.95" customHeight="1">
      <c r="A53" s="8"/>
      <c r="B53" s="10" t="s">
        <v>489</v>
      </c>
      <c r="C53" s="415" t="str">
        <f>Data!P21</f>
        <v>Housing loan principal repayment</v>
      </c>
      <c r="D53" s="415"/>
      <c r="E53" s="415"/>
      <c r="F53" s="415"/>
      <c r="G53" s="415"/>
      <c r="H53" s="94" t="s">
        <v>45</v>
      </c>
      <c r="I53" s="12">
        <f>Data!Q21</f>
        <v>0</v>
      </c>
      <c r="J53" s="95"/>
      <c r="K53" s="12"/>
    </row>
    <row r="54" spans="1:11" ht="15.95" customHeight="1">
      <c r="A54" s="8"/>
      <c r="B54" s="10" t="s">
        <v>490</v>
      </c>
      <c r="C54" s="415" t="str">
        <f>Data!P22</f>
        <v>Any other deduction specified by IT Dept</v>
      </c>
      <c r="D54" s="415"/>
      <c r="E54" s="415"/>
      <c r="F54" s="415"/>
      <c r="G54" s="415"/>
      <c r="H54" s="94" t="s">
        <v>45</v>
      </c>
      <c r="I54" s="12">
        <f>Data!Q22</f>
        <v>0</v>
      </c>
      <c r="J54" s="95"/>
      <c r="K54" s="12"/>
    </row>
    <row r="55" spans="1:11" s="26" customFormat="1" ht="15.95" customHeight="1">
      <c r="A55" s="25"/>
      <c r="B55" s="243" t="s">
        <v>14</v>
      </c>
      <c r="C55" s="217"/>
      <c r="D55" s="217"/>
      <c r="E55" s="217"/>
      <c r="F55" s="217"/>
      <c r="H55" s="96" t="s">
        <v>45</v>
      </c>
      <c r="I55" s="14">
        <f>SUM(I39:I54)</f>
        <v>121030</v>
      </c>
      <c r="J55" s="96" t="s">
        <v>45</v>
      </c>
      <c r="K55" s="14">
        <f>MIN(I55,100000)</f>
        <v>100000</v>
      </c>
    </row>
    <row r="56" spans="1:11" ht="15.95" customHeight="1">
      <c r="A56" s="8">
        <v>16</v>
      </c>
      <c r="B56" s="402" t="s">
        <v>37</v>
      </c>
      <c r="C56" s="402"/>
      <c r="D56" s="402"/>
      <c r="E56" s="402"/>
      <c r="F56" s="402"/>
      <c r="G56" s="402"/>
      <c r="H56" s="10"/>
      <c r="J56" s="94" t="s">
        <v>45</v>
      </c>
      <c r="K56" s="12">
        <f>K37</f>
        <v>6623</v>
      </c>
    </row>
    <row r="57" spans="1:11" ht="15.95" customHeight="1">
      <c r="A57" s="8">
        <v>17</v>
      </c>
      <c r="B57" s="402" t="s">
        <v>725</v>
      </c>
      <c r="C57" s="402"/>
      <c r="D57" s="402"/>
      <c r="E57" s="402"/>
      <c r="F57" s="402"/>
      <c r="G57" s="402"/>
      <c r="H57" s="10"/>
      <c r="J57" s="94" t="s">
        <v>45</v>
      </c>
      <c r="K57" s="12">
        <f>IF(K36&lt;500000,2000,0)</f>
        <v>2000</v>
      </c>
    </row>
    <row r="58" spans="1:11" ht="15.95" customHeight="1">
      <c r="A58" s="8">
        <v>18</v>
      </c>
      <c r="B58" s="402" t="s">
        <v>77</v>
      </c>
      <c r="C58" s="402"/>
      <c r="D58" s="402"/>
      <c r="E58" s="402"/>
      <c r="F58" s="402"/>
      <c r="G58" s="402"/>
      <c r="H58" s="10"/>
      <c r="I58" s="12"/>
      <c r="J58" s="94" t="s">
        <v>45</v>
      </c>
      <c r="K58" s="12">
        <f>IF(K56&lt;K57,0,ROUND((K56-K57)*3%,0))</f>
        <v>139</v>
      </c>
    </row>
    <row r="59" spans="1:11" ht="26.1" customHeight="1">
      <c r="A59" s="8">
        <v>19</v>
      </c>
      <c r="B59" s="402" t="s">
        <v>97</v>
      </c>
      <c r="C59" s="402"/>
      <c r="D59" s="402"/>
      <c r="E59" s="402"/>
      <c r="F59" s="402"/>
      <c r="G59" s="402"/>
      <c r="H59" s="10"/>
      <c r="I59" s="12"/>
      <c r="J59" s="94" t="s">
        <v>45</v>
      </c>
      <c r="K59" s="12">
        <f>IF(K36&gt;1000000,ROUND(K56*0%,0),0)</f>
        <v>0</v>
      </c>
    </row>
    <row r="60" spans="1:11" ht="15.95" customHeight="1">
      <c r="A60" s="8">
        <v>20</v>
      </c>
      <c r="B60" s="402" t="str">
        <f>"Total Income tax payable for the year "&amp;Data!Y3</f>
        <v>Total Income tax payable for the year 2013-14</v>
      </c>
      <c r="C60" s="402"/>
      <c r="D60" s="402"/>
      <c r="E60" s="402"/>
      <c r="F60" s="402"/>
      <c r="G60" s="402"/>
      <c r="H60" s="10"/>
      <c r="I60" s="12"/>
      <c r="J60" s="94" t="s">
        <v>45</v>
      </c>
      <c r="K60" s="14">
        <f>IF(K56&lt;K57,0,SUM(K56-K57+K58+K59))</f>
        <v>4762</v>
      </c>
    </row>
    <row r="61" spans="1:11" ht="15.95" customHeight="1">
      <c r="A61" s="8">
        <v>21</v>
      </c>
      <c r="B61" s="402" t="str">
        <f>"Amount of tax already paid (if any) upto the month of"</f>
        <v>Amount of tax already paid (if any) upto the month of</v>
      </c>
      <c r="C61" s="402"/>
      <c r="D61" s="402"/>
      <c r="E61" s="402"/>
      <c r="F61" s="19"/>
      <c r="G61" s="17" t="str">
        <f xml:space="preserve"> "November, 20"&amp;MID(Data!Y3,3,2)</f>
        <v>November, 2013</v>
      </c>
      <c r="H61" s="94" t="s">
        <v>45</v>
      </c>
      <c r="I61" s="12">
        <f>SUM('Table-2'!O7:O15)+Data!M23</f>
        <v>0</v>
      </c>
      <c r="J61" s="13"/>
      <c r="K61" s="12"/>
    </row>
    <row r="62" spans="1:11" ht="15.95" customHeight="1">
      <c r="A62" s="8">
        <v>22</v>
      </c>
      <c r="B62" s="402" t="s">
        <v>38</v>
      </c>
      <c r="C62" s="402"/>
      <c r="D62" s="402"/>
      <c r="E62" s="402"/>
      <c r="F62" s="19"/>
      <c r="G62" s="17" t="str">
        <f>"December, 20"&amp;MID(Data!Y3,3,2)</f>
        <v>December, 2013</v>
      </c>
      <c r="H62" s="94" t="s">
        <v>45</v>
      </c>
      <c r="I62" s="12">
        <f>'Table-2'!O16+Data!M24</f>
        <v>0</v>
      </c>
      <c r="J62" s="13"/>
      <c r="K62" s="12"/>
    </row>
    <row r="63" spans="1:11" ht="15.95" customHeight="1">
      <c r="A63" s="8"/>
      <c r="B63" s="8"/>
      <c r="C63" s="8"/>
      <c r="D63" s="9"/>
      <c r="E63" s="9"/>
      <c r="G63" s="17" t="str">
        <f>"January, 20"&amp;MID(Data!Y3,6,2)</f>
        <v>January, 2014</v>
      </c>
      <c r="H63" s="94" t="s">
        <v>45</v>
      </c>
      <c r="I63" s="12">
        <f>'Table-2'!O17+Data!M25</f>
        <v>2500</v>
      </c>
      <c r="J63" s="13"/>
      <c r="K63" s="12"/>
    </row>
    <row r="64" spans="1:11" ht="15.95" customHeight="1">
      <c r="A64" s="8"/>
      <c r="B64" s="8"/>
      <c r="C64" s="341"/>
      <c r="D64" s="341"/>
      <c r="E64" s="341"/>
      <c r="F64" s="341"/>
      <c r="G64" s="341"/>
      <c r="H64" s="342"/>
      <c r="I64" s="12">
        <f>'Table-2'!O18+Data!M26</f>
        <v>2270</v>
      </c>
      <c r="J64" s="13"/>
      <c r="K64" s="12"/>
    </row>
    <row r="65" spans="1:12" ht="15.95" customHeight="1">
      <c r="A65" s="8"/>
      <c r="B65" s="8"/>
      <c r="C65" s="8"/>
      <c r="D65" s="9"/>
      <c r="E65" s="9"/>
      <c r="G65" s="16" t="s">
        <v>14</v>
      </c>
      <c r="H65" s="96" t="s">
        <v>45</v>
      </c>
      <c r="I65" s="12">
        <f>SUM(I61:I64)</f>
        <v>4770</v>
      </c>
      <c r="J65" s="13"/>
      <c r="K65" s="12"/>
    </row>
    <row r="66" spans="1:12" s="18" customFormat="1" ht="21.75" customHeight="1">
      <c r="A66" s="417" t="s">
        <v>39</v>
      </c>
      <c r="B66" s="417"/>
      <c r="C66" s="417"/>
      <c r="D66" s="417"/>
      <c r="E66" s="417"/>
      <c r="F66" s="417"/>
      <c r="G66" s="417"/>
      <c r="H66" s="417"/>
      <c r="I66" s="417"/>
      <c r="J66" s="417"/>
      <c r="K66" s="417"/>
    </row>
    <row r="67" spans="1:12" ht="44.25" customHeight="1">
      <c r="A67" s="402" t="str">
        <f>"               I,  "&amp;Data!D2&amp;" do hereby declare that I am paying a monthly rent of Rs."&amp;Data!D36&amp;" ( Rupees"&amp;Data!BN1&amp;" only) towards my residential accommodation bearing "&amp;Data!AB28</f>
        <v xml:space="preserve">               I,  Nainala Srinivas do hereby declare that I am paying a monthly rent of Rs.6500 ( Rupees six thousand five hundred only) towards my residential accommodation bearing H.No.3-4-34/5, Bank Colony, K.Agraharam, Amalapuram</v>
      </c>
      <c r="B67" s="402"/>
      <c r="C67" s="402"/>
      <c r="D67" s="402"/>
      <c r="E67" s="402"/>
      <c r="F67" s="402"/>
      <c r="G67" s="402"/>
      <c r="H67" s="402"/>
      <c r="I67" s="402"/>
      <c r="J67" s="402"/>
      <c r="K67" s="402"/>
      <c r="L67" s="19"/>
    </row>
    <row r="68" spans="1:12" ht="24" customHeight="1">
      <c r="A68" s="418" t="s">
        <v>206</v>
      </c>
      <c r="B68" s="418"/>
      <c r="C68" s="418"/>
      <c r="D68" s="418"/>
      <c r="E68" s="418"/>
      <c r="F68" s="418"/>
      <c r="G68" s="418"/>
      <c r="H68" s="418"/>
      <c r="I68" s="418"/>
      <c r="J68" s="418"/>
      <c r="K68" s="418"/>
    </row>
    <row r="69" spans="1:12" ht="15.95" customHeight="1">
      <c r="C69" s="19"/>
      <c r="D69" s="9"/>
      <c r="E69" s="9"/>
      <c r="F69" s="9"/>
      <c r="G69" s="9"/>
      <c r="H69" s="10"/>
      <c r="I69" s="12"/>
      <c r="J69" s="13"/>
      <c r="K69" s="12"/>
    </row>
    <row r="70" spans="1:12" ht="15.95" customHeight="1">
      <c r="A70" s="402" t="str">
        <f>"Station :"&amp;PROPER(Data!D18)</f>
        <v>Station :Kothapalem</v>
      </c>
      <c r="B70" s="402"/>
      <c r="C70" s="402"/>
      <c r="D70" s="402"/>
      <c r="E70" s="9"/>
      <c r="F70" s="9"/>
      <c r="G70" s="9"/>
      <c r="H70" s="10"/>
      <c r="I70" s="12"/>
      <c r="J70" s="13"/>
      <c r="K70" s="12"/>
    </row>
    <row r="71" spans="1:12" ht="19.5" customHeight="1">
      <c r="A71" s="402" t="s">
        <v>40</v>
      </c>
      <c r="B71" s="402"/>
      <c r="C71" s="8"/>
      <c r="D71" s="9"/>
      <c r="E71" s="9"/>
      <c r="F71" s="9"/>
      <c r="G71" s="9"/>
      <c r="H71" s="416" t="s">
        <v>41</v>
      </c>
      <c r="I71" s="416"/>
      <c r="J71" s="416"/>
      <c r="K71" s="416"/>
    </row>
    <row r="72" spans="1:12" ht="22.5" customHeight="1">
      <c r="A72" s="172" t="s">
        <v>727</v>
      </c>
    </row>
    <row r="73" spans="1:12" ht="20.100000000000001" hidden="1" customHeight="1"/>
    <row r="74" spans="1:12" ht="20.100000000000001" hidden="1" customHeight="1"/>
    <row r="75" spans="1:12" ht="20.100000000000001" hidden="1" customHeight="1"/>
    <row r="76" spans="1:12" ht="20.100000000000001" hidden="1" customHeight="1"/>
    <row r="77" spans="1:12" ht="20.100000000000001" hidden="1" customHeight="1"/>
    <row r="78" spans="1:12" ht="20.100000000000001" hidden="1" customHeight="1"/>
  </sheetData>
  <sheetProtection sheet="1" objects="1" scenarios="1" selectLockedCells="1"/>
  <protectedRanges>
    <protectedRange sqref="C64:H64" name="Range1"/>
  </protectedRanges>
  <mergeCells count="69">
    <mergeCell ref="D13:G13"/>
    <mergeCell ref="C23:G23"/>
    <mergeCell ref="B24:G24"/>
    <mergeCell ref="A1:K1"/>
    <mergeCell ref="A2:K2"/>
    <mergeCell ref="A3:K3"/>
    <mergeCell ref="B5:C5"/>
    <mergeCell ref="G4:K5"/>
    <mergeCell ref="B4:E4"/>
    <mergeCell ref="B8:G8"/>
    <mergeCell ref="C9:G9"/>
    <mergeCell ref="B17:G17"/>
    <mergeCell ref="D12:G12"/>
    <mergeCell ref="B19:G19"/>
    <mergeCell ref="B7:G7"/>
    <mergeCell ref="C10:G10"/>
    <mergeCell ref="B18:G18"/>
    <mergeCell ref="C40:G40"/>
    <mergeCell ref="B37:G37"/>
    <mergeCell ref="C41:G41"/>
    <mergeCell ref="I6:K6"/>
    <mergeCell ref="B6:G6"/>
    <mergeCell ref="C29:F29"/>
    <mergeCell ref="D11:G11"/>
    <mergeCell ref="B15:G15"/>
    <mergeCell ref="B16:G16"/>
    <mergeCell ref="B25:G25"/>
    <mergeCell ref="C31:F31"/>
    <mergeCell ref="C14:G14"/>
    <mergeCell ref="C21:G21"/>
    <mergeCell ref="B20:G20"/>
    <mergeCell ref="C22:G22"/>
    <mergeCell ref="C30:F30"/>
    <mergeCell ref="C39:G39"/>
    <mergeCell ref="B26:G26"/>
    <mergeCell ref="B35:G35"/>
    <mergeCell ref="C28:F28"/>
    <mergeCell ref="B38:G38"/>
    <mergeCell ref="B36:G36"/>
    <mergeCell ref="C33:F33"/>
    <mergeCell ref="C34:F34"/>
    <mergeCell ref="C32:F32"/>
    <mergeCell ref="C27:F27"/>
    <mergeCell ref="H71:K71"/>
    <mergeCell ref="B59:G59"/>
    <mergeCell ref="C53:G53"/>
    <mergeCell ref="A66:K66"/>
    <mergeCell ref="B61:E61"/>
    <mergeCell ref="A67:K67"/>
    <mergeCell ref="A71:B71"/>
    <mergeCell ref="A70:D70"/>
    <mergeCell ref="A68:K68"/>
    <mergeCell ref="B56:G56"/>
    <mergeCell ref="B62:E62"/>
    <mergeCell ref="C54:G54"/>
    <mergeCell ref="B58:G58"/>
    <mergeCell ref="C42:G42"/>
    <mergeCell ref="C43:G43"/>
    <mergeCell ref="B60:G60"/>
    <mergeCell ref="C44:G44"/>
    <mergeCell ref="C45:G45"/>
    <mergeCell ref="C46:G46"/>
    <mergeCell ref="C47:G47"/>
    <mergeCell ref="C50:G50"/>
    <mergeCell ref="C51:G51"/>
    <mergeCell ref="C52:G52"/>
    <mergeCell ref="C49:G49"/>
    <mergeCell ref="C48:G48"/>
    <mergeCell ref="B57:G57"/>
  </mergeCells>
  <phoneticPr fontId="2" type="noConversion"/>
  <printOptions horizontalCentered="1"/>
  <pageMargins left="0.47" right="0.49" top="0.53" bottom="0.7" header="0.35" footer="0.5"/>
  <pageSetup paperSize="9" orientation="portrait" horizontalDpi="300" verticalDpi="300" r:id="rId1"/>
  <headerFooter alignWithMargins="0"/>
  <rowBreaks count="1" manualBreakCount="1">
    <brk id="37" max="16383" man="1"/>
  </rowBreaks>
</worksheet>
</file>

<file path=xl/worksheets/sheet6.xml><?xml version="1.0" encoding="utf-8"?>
<worksheet xmlns="http://schemas.openxmlformats.org/spreadsheetml/2006/main" xmlns:r="http://schemas.openxmlformats.org/officeDocument/2006/relationships">
  <sheetPr codeName="Sheet5"/>
  <dimension ref="A1:O736"/>
  <sheetViews>
    <sheetView showGridLines="0" workbookViewId="0">
      <selection activeCell="A68" sqref="A68:D68"/>
    </sheetView>
  </sheetViews>
  <sheetFormatPr defaultColWidth="0" defaultRowHeight="12.75" zeroHeight="1"/>
  <cols>
    <col min="1" max="1" width="2.85546875" style="20" customWidth="1"/>
    <col min="2" max="2" width="3.28515625" style="20" customWidth="1"/>
    <col min="3" max="3" width="3.28515625" style="7" customWidth="1"/>
    <col min="4" max="5" width="11.7109375" style="7" customWidth="1"/>
    <col min="6" max="6" width="3.28515625" style="7" customWidth="1"/>
    <col min="7" max="7" width="14.140625" style="7" customWidth="1"/>
    <col min="8" max="8" width="3.7109375" style="22" customWidth="1"/>
    <col min="9" max="9" width="10.85546875" style="7" bestFit="1" customWidth="1"/>
    <col min="10" max="10" width="3.7109375" style="22" customWidth="1"/>
    <col min="11" max="11" width="9.7109375" style="7" customWidth="1"/>
    <col min="12" max="12" width="3.7109375" style="22" customWidth="1"/>
    <col min="13" max="13" width="9.7109375" style="7" customWidth="1"/>
    <col min="14" max="14" width="0.140625" style="7" customWidth="1"/>
    <col min="15" max="15" width="13.5703125" style="7" hidden="1" customWidth="1"/>
    <col min="16" max="16384" width="0" style="7" hidden="1"/>
  </cols>
  <sheetData>
    <row r="1" spans="1:14" ht="21.75" customHeight="1">
      <c r="A1" s="446" t="s">
        <v>235</v>
      </c>
      <c r="B1" s="446"/>
      <c r="C1" s="446"/>
      <c r="D1" s="446"/>
      <c r="E1" s="446"/>
      <c r="F1" s="446"/>
      <c r="G1" s="446"/>
      <c r="H1" s="446"/>
      <c r="I1" s="446"/>
      <c r="J1" s="446"/>
      <c r="K1" s="446"/>
      <c r="L1" s="446"/>
      <c r="M1" s="446"/>
      <c r="N1" s="27"/>
    </row>
    <row r="2" spans="1:14" ht="18" customHeight="1">
      <c r="A2" s="447" t="s">
        <v>474</v>
      </c>
      <c r="B2" s="447"/>
      <c r="C2" s="447"/>
      <c r="D2" s="447"/>
      <c r="E2" s="447"/>
      <c r="F2" s="447"/>
      <c r="G2" s="447"/>
      <c r="H2" s="447"/>
      <c r="I2" s="447"/>
      <c r="J2" s="447"/>
      <c r="K2" s="447"/>
      <c r="L2" s="447"/>
      <c r="M2" s="447"/>
      <c r="N2" s="27"/>
    </row>
    <row r="3" spans="1:14" ht="18.75" customHeight="1">
      <c r="A3" s="448" t="s">
        <v>470</v>
      </c>
      <c r="B3" s="449"/>
      <c r="C3" s="449"/>
      <c r="D3" s="449"/>
      <c r="E3" s="449"/>
      <c r="F3" s="449"/>
      <c r="G3" s="449"/>
      <c r="H3" s="449"/>
      <c r="I3" s="449"/>
      <c r="J3" s="449"/>
      <c r="K3" s="449"/>
      <c r="L3" s="449"/>
      <c r="M3" s="450"/>
      <c r="N3" s="27"/>
    </row>
    <row r="4" spans="1:14" s="26" customFormat="1" ht="12.95" customHeight="1">
      <c r="A4" s="451" t="s">
        <v>205</v>
      </c>
      <c r="B4" s="456"/>
      <c r="C4" s="456"/>
      <c r="D4" s="456"/>
      <c r="E4" s="456"/>
      <c r="F4" s="456"/>
      <c r="G4" s="456"/>
      <c r="H4" s="451" t="s">
        <v>243</v>
      </c>
      <c r="I4" s="452"/>
      <c r="J4" s="452"/>
      <c r="K4" s="452"/>
      <c r="L4" s="452"/>
      <c r="M4" s="453"/>
      <c r="N4" s="28"/>
    </row>
    <row r="5" spans="1:14" s="26" customFormat="1" ht="45" customHeight="1">
      <c r="A5" s="457" t="str">
        <f>Data!D12&amp;", "&amp;Data!D14&amp;","&amp;Data!AB30</f>
        <v>M Hari Prasad, Gazetted Headmaster,Z.P.P.High School, Kothapalem, Ambajipeta Mandal</v>
      </c>
      <c r="B5" s="459"/>
      <c r="C5" s="459"/>
      <c r="D5" s="459"/>
      <c r="E5" s="459"/>
      <c r="F5" s="459"/>
      <c r="G5" s="458"/>
      <c r="H5" s="457" t="str">
        <f>Data!D2&amp;", "&amp;Data!D4&amp;","&amp;Data!AB29</f>
        <v>Nainala Srinivas, S.A.(Math's),Z.P.P.High School, Isukapudi</v>
      </c>
      <c r="I5" s="459"/>
      <c r="J5" s="459"/>
      <c r="K5" s="459"/>
      <c r="L5" s="459"/>
      <c r="M5" s="458"/>
      <c r="N5" s="28"/>
    </row>
    <row r="6" spans="1:14" s="100" customFormat="1" ht="12.75" customHeight="1">
      <c r="A6" s="460" t="s">
        <v>237</v>
      </c>
      <c r="B6" s="464"/>
      <c r="C6" s="464"/>
      <c r="D6" s="464"/>
      <c r="E6" s="461"/>
      <c r="F6" s="460" t="s">
        <v>236</v>
      </c>
      <c r="G6" s="461"/>
      <c r="H6" s="460" t="s">
        <v>237</v>
      </c>
      <c r="I6" s="464"/>
      <c r="J6" s="464"/>
      <c r="K6" s="464"/>
      <c r="L6" s="464"/>
      <c r="M6" s="461"/>
      <c r="N6" s="99"/>
    </row>
    <row r="7" spans="1:14" s="102" customFormat="1" ht="15.75" customHeight="1">
      <c r="A7" s="457" t="str">
        <f>Data!D15</f>
        <v>AFXPM7085H</v>
      </c>
      <c r="B7" s="459"/>
      <c r="C7" s="459"/>
      <c r="D7" s="459"/>
      <c r="E7" s="458"/>
      <c r="F7" s="457" t="str">
        <f>Data!D16</f>
        <v>VPNZ01084G</v>
      </c>
      <c r="G7" s="458"/>
      <c r="H7" s="457" t="str">
        <f>Data!D5</f>
        <v>ACPPN5016Q</v>
      </c>
      <c r="I7" s="459"/>
      <c r="J7" s="459"/>
      <c r="K7" s="459"/>
      <c r="L7" s="459"/>
      <c r="M7" s="458"/>
      <c r="N7" s="101"/>
    </row>
    <row r="8" spans="1:14" s="30" customFormat="1" ht="18" customHeight="1">
      <c r="A8" s="467" t="s">
        <v>96</v>
      </c>
      <c r="B8" s="447"/>
      <c r="C8" s="447"/>
      <c r="D8" s="447"/>
      <c r="E8" s="447"/>
      <c r="F8" s="447"/>
      <c r="G8" s="468"/>
      <c r="H8" s="465" t="s">
        <v>201</v>
      </c>
      <c r="I8" s="465"/>
      <c r="J8" s="465"/>
      <c r="K8" s="465"/>
      <c r="L8" s="462" t="s">
        <v>371</v>
      </c>
      <c r="M8" s="463"/>
      <c r="N8" s="29"/>
    </row>
    <row r="9" spans="1:14" s="30" customFormat="1" ht="18" customHeight="1">
      <c r="A9" s="469"/>
      <c r="B9" s="470"/>
      <c r="C9" s="470"/>
      <c r="D9" s="470"/>
      <c r="E9" s="470"/>
      <c r="F9" s="470"/>
      <c r="G9" s="471"/>
      <c r="H9" s="445" t="str">
        <f>"March '"&amp;MID(Data!Y3,3,2)</f>
        <v>March '13</v>
      </c>
      <c r="I9" s="445"/>
      <c r="J9" s="466" t="str">
        <f>"February '"&amp;MID(Data!Y3,6,2)</f>
        <v>February '14</v>
      </c>
      <c r="K9" s="466"/>
      <c r="L9" s="454" t="str">
        <f>Data!Y4</f>
        <v>2014-15</v>
      </c>
      <c r="M9" s="455"/>
      <c r="N9" s="29"/>
    </row>
    <row r="10" spans="1:14" ht="15" customHeight="1">
      <c r="A10" s="31">
        <v>1</v>
      </c>
      <c r="B10" s="440" t="s">
        <v>50</v>
      </c>
      <c r="C10" s="440"/>
      <c r="D10" s="32"/>
      <c r="E10" s="32"/>
      <c r="F10" s="32"/>
      <c r="G10" s="32"/>
      <c r="H10" s="33"/>
      <c r="I10" s="34"/>
      <c r="J10" s="33"/>
      <c r="K10" s="34"/>
      <c r="L10" s="33"/>
      <c r="M10" s="35"/>
      <c r="N10" s="27"/>
    </row>
    <row r="11" spans="1:14" s="27" customFormat="1" ht="15" customHeight="1">
      <c r="A11" s="36"/>
      <c r="B11" s="37" t="s">
        <v>51</v>
      </c>
      <c r="C11" s="437" t="s">
        <v>52</v>
      </c>
      <c r="D11" s="437"/>
      <c r="E11" s="437"/>
      <c r="F11" s="437"/>
      <c r="G11" s="437"/>
      <c r="H11" s="38" t="s">
        <v>45</v>
      </c>
      <c r="I11" s="39">
        <f>'Table-2'!M28</f>
        <v>395305</v>
      </c>
      <c r="J11" s="38"/>
      <c r="K11" s="39"/>
      <c r="L11" s="38"/>
      <c r="M11" s="40"/>
    </row>
    <row r="12" spans="1:14" s="27" customFormat="1" ht="30" customHeight="1">
      <c r="A12" s="36"/>
      <c r="B12" s="37" t="s">
        <v>53</v>
      </c>
      <c r="C12" s="437" t="s">
        <v>54</v>
      </c>
      <c r="D12" s="437"/>
      <c r="E12" s="437"/>
      <c r="F12" s="437"/>
      <c r="G12" s="437"/>
      <c r="H12" s="38" t="s">
        <v>45</v>
      </c>
      <c r="I12" s="39">
        <v>0</v>
      </c>
      <c r="J12" s="38"/>
      <c r="K12" s="39"/>
      <c r="L12" s="38"/>
      <c r="M12" s="40"/>
    </row>
    <row r="13" spans="1:14" s="27" customFormat="1" ht="30" customHeight="1">
      <c r="A13" s="36"/>
      <c r="B13" s="37" t="s">
        <v>55</v>
      </c>
      <c r="C13" s="437" t="s">
        <v>238</v>
      </c>
      <c r="D13" s="437"/>
      <c r="E13" s="437"/>
      <c r="F13" s="437"/>
      <c r="G13" s="437"/>
      <c r="H13" s="38" t="s">
        <v>45</v>
      </c>
      <c r="I13" s="39">
        <v>0</v>
      </c>
      <c r="J13" s="38"/>
      <c r="K13" s="39"/>
      <c r="L13" s="38"/>
      <c r="M13" s="40"/>
    </row>
    <row r="14" spans="1:14" s="27" customFormat="1" ht="15" customHeight="1">
      <c r="A14" s="36"/>
      <c r="B14" s="37" t="s">
        <v>56</v>
      </c>
      <c r="C14" s="437" t="s">
        <v>14</v>
      </c>
      <c r="D14" s="437"/>
      <c r="E14" s="437"/>
      <c r="F14" s="437"/>
      <c r="G14" s="437"/>
      <c r="H14" s="38"/>
      <c r="I14" s="39"/>
      <c r="J14" s="38" t="s">
        <v>45</v>
      </c>
      <c r="K14" s="39">
        <f>I11+I12+I13</f>
        <v>395305</v>
      </c>
      <c r="L14" s="38"/>
      <c r="M14" s="40"/>
    </row>
    <row r="15" spans="1:14" s="27" customFormat="1" ht="15" customHeight="1">
      <c r="A15" s="36">
        <v>2</v>
      </c>
      <c r="B15" s="437" t="s">
        <v>57</v>
      </c>
      <c r="C15" s="437"/>
      <c r="D15" s="437"/>
      <c r="E15" s="437"/>
      <c r="F15" s="437"/>
      <c r="G15" s="437"/>
      <c r="H15" s="38"/>
      <c r="I15" s="39"/>
      <c r="J15" s="38"/>
      <c r="K15" s="39"/>
      <c r="L15" s="38"/>
      <c r="M15" s="40"/>
    </row>
    <row r="16" spans="1:14" s="27" customFormat="1" ht="15" customHeight="1">
      <c r="A16" s="36"/>
      <c r="B16" s="37">
        <v>1</v>
      </c>
      <c r="C16" s="437" t="s">
        <v>209</v>
      </c>
      <c r="D16" s="437"/>
      <c r="E16" s="437"/>
      <c r="F16" s="437"/>
      <c r="G16" s="437"/>
      <c r="H16" s="38" t="s">
        <v>45</v>
      </c>
      <c r="I16" s="39">
        <f>'Annexure-1'!K15</f>
        <v>26637</v>
      </c>
      <c r="J16" s="38"/>
      <c r="K16" s="39"/>
      <c r="L16" s="38"/>
      <c r="M16" s="40"/>
    </row>
    <row r="17" spans="1:13" s="27" customFormat="1" ht="15" customHeight="1">
      <c r="A17" s="36"/>
      <c r="B17" s="37">
        <v>2</v>
      </c>
      <c r="C17" s="437" t="str">
        <f>IFERROR(VLOOKUP(B17,Data!T$3:V$9,2,FALSE),"")</f>
        <v/>
      </c>
      <c r="D17" s="437"/>
      <c r="E17" s="437"/>
      <c r="F17" s="437"/>
      <c r="G17" s="437"/>
      <c r="H17" s="38" t="s">
        <v>45</v>
      </c>
      <c r="I17" s="39">
        <f>IFERROR(VLOOKUP(B17,Data!T$3:V$9,3,FALSE),0)</f>
        <v>0</v>
      </c>
      <c r="J17" s="38"/>
      <c r="K17" s="39"/>
      <c r="L17" s="38"/>
      <c r="M17" s="40"/>
    </row>
    <row r="18" spans="1:13" s="27" customFormat="1" ht="15" customHeight="1">
      <c r="A18" s="36"/>
      <c r="B18" s="37">
        <v>3</v>
      </c>
      <c r="C18" s="437" t="str">
        <f>IFERROR(VLOOKUP(B18,Data!T$3:V$9,2,FALSE),"")</f>
        <v/>
      </c>
      <c r="D18" s="437"/>
      <c r="E18" s="437"/>
      <c r="F18" s="437"/>
      <c r="G18" s="437"/>
      <c r="H18" s="38" t="s">
        <v>45</v>
      </c>
      <c r="I18" s="39">
        <f>IFERROR(VLOOKUP(B18,Data!T$3:V$9,3,FALSE),0)</f>
        <v>0</v>
      </c>
      <c r="J18" s="38" t="s">
        <v>45</v>
      </c>
      <c r="K18" s="39">
        <f>I16+I17+I18</f>
        <v>26637</v>
      </c>
      <c r="L18" s="38"/>
      <c r="M18" s="40"/>
    </row>
    <row r="19" spans="1:13" s="27" customFormat="1" ht="15" customHeight="1">
      <c r="A19" s="36">
        <v>3</v>
      </c>
      <c r="B19" s="437" t="s">
        <v>58</v>
      </c>
      <c r="C19" s="437"/>
      <c r="D19" s="437"/>
      <c r="E19" s="437"/>
      <c r="F19" s="437"/>
      <c r="G19" s="437"/>
      <c r="H19" s="38"/>
      <c r="I19" s="39"/>
      <c r="J19" s="38" t="s">
        <v>45</v>
      </c>
      <c r="K19" s="39">
        <f>K14-K18</f>
        <v>368668</v>
      </c>
      <c r="L19" s="38"/>
      <c r="M19" s="40"/>
    </row>
    <row r="20" spans="1:13" s="27" customFormat="1" ht="15" customHeight="1">
      <c r="A20" s="36">
        <v>4</v>
      </c>
      <c r="B20" s="437" t="s">
        <v>59</v>
      </c>
      <c r="C20" s="437"/>
      <c r="D20" s="437"/>
      <c r="E20" s="437"/>
      <c r="F20" s="437"/>
      <c r="G20" s="437"/>
      <c r="H20" s="38"/>
      <c r="I20" s="39"/>
      <c r="J20" s="38"/>
      <c r="K20" s="39"/>
      <c r="L20" s="38"/>
      <c r="M20" s="40"/>
    </row>
    <row r="21" spans="1:13" s="27" customFormat="1" ht="15" customHeight="1">
      <c r="A21" s="36"/>
      <c r="B21" s="37" t="s">
        <v>51</v>
      </c>
      <c r="C21" s="437" t="s">
        <v>239</v>
      </c>
      <c r="D21" s="437"/>
      <c r="E21" s="437"/>
      <c r="F21" s="437"/>
      <c r="G21" s="437"/>
      <c r="H21" s="38" t="s">
        <v>45</v>
      </c>
      <c r="I21" s="39">
        <v>0</v>
      </c>
      <c r="J21" s="38"/>
      <c r="K21" s="39"/>
      <c r="L21" s="38"/>
      <c r="M21" s="40"/>
    </row>
    <row r="22" spans="1:13" s="27" customFormat="1" ht="15" customHeight="1">
      <c r="A22" s="36"/>
      <c r="B22" s="37" t="s">
        <v>53</v>
      </c>
      <c r="C22" s="437" t="s">
        <v>60</v>
      </c>
      <c r="D22" s="437"/>
      <c r="E22" s="437"/>
      <c r="F22" s="437"/>
      <c r="G22" s="437"/>
      <c r="H22" s="38" t="s">
        <v>45</v>
      </c>
      <c r="I22" s="39">
        <f>'Table-1'!M26</f>
        <v>2400</v>
      </c>
      <c r="J22" s="38"/>
      <c r="K22" s="39"/>
      <c r="L22" s="38"/>
      <c r="M22" s="40"/>
    </row>
    <row r="23" spans="1:13" s="27" customFormat="1" ht="15" customHeight="1">
      <c r="A23" s="36">
        <v>5</v>
      </c>
      <c r="B23" s="437" t="s">
        <v>61</v>
      </c>
      <c r="C23" s="437"/>
      <c r="D23" s="437"/>
      <c r="E23" s="437"/>
      <c r="F23" s="437"/>
      <c r="G23" s="437"/>
      <c r="H23" s="38"/>
      <c r="I23" s="39"/>
      <c r="J23" s="38" t="s">
        <v>45</v>
      </c>
      <c r="K23" s="39">
        <f>I21+I22</f>
        <v>2400</v>
      </c>
      <c r="L23" s="38"/>
      <c r="M23" s="40"/>
    </row>
    <row r="24" spans="1:13" s="27" customFormat="1" ht="15" customHeight="1">
      <c r="A24" s="36">
        <v>6</v>
      </c>
      <c r="B24" s="437" t="s">
        <v>66</v>
      </c>
      <c r="C24" s="437"/>
      <c r="D24" s="437"/>
      <c r="E24" s="437"/>
      <c r="F24" s="437"/>
      <c r="G24" s="437"/>
      <c r="H24" s="38"/>
      <c r="I24" s="39"/>
      <c r="J24" s="38"/>
      <c r="K24" s="39"/>
      <c r="L24" s="38" t="s">
        <v>45</v>
      </c>
      <c r="M24" s="40">
        <f>K19-K23</f>
        <v>366268</v>
      </c>
    </row>
    <row r="25" spans="1:13" s="27" customFormat="1" ht="15" customHeight="1">
      <c r="A25" s="36">
        <v>7</v>
      </c>
      <c r="B25" s="437" t="s">
        <v>78</v>
      </c>
      <c r="C25" s="437"/>
      <c r="D25" s="437"/>
      <c r="E25" s="437"/>
      <c r="F25" s="437"/>
      <c r="G25" s="437"/>
      <c r="H25" s="38"/>
      <c r="I25" s="39"/>
      <c r="J25" s="38"/>
      <c r="K25" s="39"/>
      <c r="L25" s="38"/>
      <c r="M25" s="40"/>
    </row>
    <row r="26" spans="1:13" s="27" customFormat="1" ht="15" customHeight="1">
      <c r="A26" s="36"/>
      <c r="B26" s="37" t="s">
        <v>51</v>
      </c>
      <c r="C26" s="437" t="str">
        <f>Data!L4</f>
        <v>Income on House property</v>
      </c>
      <c r="D26" s="437"/>
      <c r="E26" s="437"/>
      <c r="F26" s="437"/>
      <c r="G26" s="437"/>
      <c r="H26" s="38" t="s">
        <v>45</v>
      </c>
      <c r="I26" s="150">
        <f>-MIN(Data!M12,150000)</f>
        <v>0</v>
      </c>
      <c r="J26" s="38"/>
      <c r="K26" s="39"/>
      <c r="L26" s="38"/>
      <c r="M26" s="40"/>
    </row>
    <row r="27" spans="1:13" s="27" customFormat="1" ht="15" customHeight="1">
      <c r="A27" s="36"/>
      <c r="B27" s="37" t="s">
        <v>53</v>
      </c>
      <c r="C27" s="437" t="s">
        <v>240</v>
      </c>
      <c r="D27" s="437"/>
      <c r="E27" s="437"/>
      <c r="F27" s="437"/>
      <c r="G27" s="437"/>
      <c r="H27" s="38" t="s">
        <v>45</v>
      </c>
      <c r="I27" s="266">
        <f>Data!M2+Data!M3+Data!M4+Data!M5</f>
        <v>0</v>
      </c>
      <c r="J27" s="38"/>
      <c r="K27" s="39"/>
      <c r="L27" s="38" t="s">
        <v>45</v>
      </c>
      <c r="M27" s="40"/>
    </row>
    <row r="28" spans="1:13" s="27" customFormat="1" ht="15" customHeight="1">
      <c r="A28" s="36"/>
      <c r="B28" s="37" t="s">
        <v>55</v>
      </c>
      <c r="C28" s="437" t="s">
        <v>241</v>
      </c>
      <c r="D28" s="437"/>
      <c r="E28" s="437"/>
      <c r="F28" s="437"/>
      <c r="G28" s="437"/>
      <c r="H28" s="38"/>
      <c r="I28" s="39"/>
      <c r="J28" s="38" t="s">
        <v>45</v>
      </c>
      <c r="K28" s="150">
        <f>I26+I27</f>
        <v>0</v>
      </c>
      <c r="L28" s="38"/>
      <c r="M28" s="40"/>
    </row>
    <row r="29" spans="1:13" s="27" customFormat="1" ht="15" customHeight="1">
      <c r="A29" s="36">
        <v>8</v>
      </c>
      <c r="B29" s="437" t="s">
        <v>242</v>
      </c>
      <c r="C29" s="437"/>
      <c r="D29" s="437"/>
      <c r="E29" s="437"/>
      <c r="F29" s="437"/>
      <c r="G29" s="437"/>
      <c r="H29" s="38"/>
      <c r="I29" s="39"/>
      <c r="J29" s="38"/>
      <c r="K29" s="39"/>
      <c r="L29" s="38" t="s">
        <v>45</v>
      </c>
      <c r="M29" s="42">
        <f>M24+K28</f>
        <v>366268</v>
      </c>
    </row>
    <row r="30" spans="1:13" s="27" customFormat="1" ht="15" customHeight="1">
      <c r="A30" s="36">
        <v>9</v>
      </c>
      <c r="B30" s="437" t="s">
        <v>62</v>
      </c>
      <c r="C30" s="437"/>
      <c r="D30" s="437"/>
      <c r="E30" s="437"/>
      <c r="F30" s="437"/>
      <c r="G30" s="437"/>
      <c r="H30" s="38"/>
      <c r="I30" s="39"/>
      <c r="J30" s="38"/>
      <c r="K30" s="39"/>
      <c r="L30" s="38"/>
      <c r="M30" s="40"/>
    </row>
    <row r="31" spans="1:13" s="27" customFormat="1" ht="15" customHeight="1">
      <c r="A31" s="36"/>
      <c r="B31" s="437" t="s">
        <v>492</v>
      </c>
      <c r="C31" s="437"/>
      <c r="D31" s="437"/>
      <c r="E31" s="437"/>
      <c r="F31" s="437"/>
      <c r="G31" s="437"/>
      <c r="H31" s="38"/>
      <c r="I31" s="39"/>
      <c r="J31" s="38"/>
      <c r="K31" s="39"/>
      <c r="L31" s="38"/>
      <c r="M31" s="40"/>
    </row>
    <row r="32" spans="1:13" s="27" customFormat="1" ht="15" customHeight="1">
      <c r="A32" s="36"/>
      <c r="B32" s="37"/>
      <c r="C32" s="41"/>
      <c r="D32" s="41"/>
      <c r="E32" s="41"/>
      <c r="F32" s="41"/>
      <c r="G32" s="41"/>
      <c r="H32" s="442" t="s">
        <v>63</v>
      </c>
      <c r="I32" s="442"/>
      <c r="J32" s="442" t="s">
        <v>64</v>
      </c>
      <c r="K32" s="442"/>
      <c r="L32" s="442" t="s">
        <v>65</v>
      </c>
      <c r="M32" s="443"/>
    </row>
    <row r="33" spans="1:15" s="27" customFormat="1" ht="15" customHeight="1">
      <c r="A33" s="36"/>
      <c r="B33" s="37" t="s">
        <v>220</v>
      </c>
      <c r="C33" s="437" t="s">
        <v>493</v>
      </c>
      <c r="D33" s="437"/>
      <c r="E33" s="437"/>
      <c r="F33" s="437"/>
      <c r="G33" s="437"/>
      <c r="H33" s="442"/>
      <c r="I33" s="442"/>
      <c r="J33" s="442"/>
      <c r="K33" s="442"/>
      <c r="L33" s="442"/>
      <c r="M33" s="443"/>
    </row>
    <row r="34" spans="1:15" s="27" customFormat="1" ht="15" customHeight="1">
      <c r="A34" s="36"/>
      <c r="C34" s="37" t="s">
        <v>67</v>
      </c>
      <c r="D34" s="437" t="str">
        <f>'Annexure-1'!C39</f>
        <v>Z.P.P.F.</v>
      </c>
      <c r="E34" s="437"/>
      <c r="F34" s="437"/>
      <c r="G34" s="437"/>
      <c r="H34" s="38" t="s">
        <v>45</v>
      </c>
      <c r="I34" s="39">
        <f>'Annexure-1'!I39</f>
        <v>33310</v>
      </c>
      <c r="J34" s="38" t="s">
        <v>45</v>
      </c>
      <c r="K34" s="39">
        <f>I34</f>
        <v>33310</v>
      </c>
      <c r="L34" s="38" t="s">
        <v>45</v>
      </c>
      <c r="M34" s="40">
        <f>K34</f>
        <v>33310</v>
      </c>
    </row>
    <row r="35" spans="1:15" s="27" customFormat="1" ht="15" customHeight="1">
      <c r="A35" s="36"/>
      <c r="C35" s="37" t="s">
        <v>8</v>
      </c>
      <c r="D35" s="437" t="str">
        <f>'Annexure-1'!C40</f>
        <v>A.P.G.L.I.</v>
      </c>
      <c r="E35" s="437"/>
      <c r="F35" s="437"/>
      <c r="G35" s="437"/>
      <c r="H35" s="38" t="s">
        <v>45</v>
      </c>
      <c r="I35" s="39">
        <f>'Annexure-1'!I40</f>
        <v>12000</v>
      </c>
      <c r="J35" s="38" t="s">
        <v>45</v>
      </c>
      <c r="K35" s="39">
        <f t="shared" ref="K35:K44" si="0">I35</f>
        <v>12000</v>
      </c>
      <c r="L35" s="38" t="s">
        <v>45</v>
      </c>
      <c r="M35" s="40">
        <f t="shared" ref="M35:M44" si="1">K35</f>
        <v>12000</v>
      </c>
    </row>
    <row r="36" spans="1:15" s="27" customFormat="1" ht="15" customHeight="1">
      <c r="A36" s="36"/>
      <c r="C36" s="37" t="s">
        <v>68</v>
      </c>
      <c r="D36" s="437" t="str">
        <f>'Annexure-1'!C41</f>
        <v>G.I.S.</v>
      </c>
      <c r="E36" s="437"/>
      <c r="F36" s="437"/>
      <c r="G36" s="437"/>
      <c r="H36" s="38" t="s">
        <v>45</v>
      </c>
      <c r="I36" s="39">
        <f>'Annexure-1'!I41</f>
        <v>720</v>
      </c>
      <c r="J36" s="38" t="s">
        <v>45</v>
      </c>
      <c r="K36" s="39">
        <f t="shared" si="0"/>
        <v>720</v>
      </c>
      <c r="L36" s="38" t="s">
        <v>45</v>
      </c>
      <c r="M36" s="40">
        <f t="shared" si="1"/>
        <v>720</v>
      </c>
    </row>
    <row r="37" spans="1:15" s="27" customFormat="1" ht="15" customHeight="1">
      <c r="A37" s="36"/>
      <c r="C37" s="37" t="s">
        <v>69</v>
      </c>
      <c r="D37" s="437" t="str">
        <f>'Annexure-1'!C42</f>
        <v xml:space="preserve">L.I.C. </v>
      </c>
      <c r="E37" s="437"/>
      <c r="F37" s="437"/>
      <c r="G37" s="437"/>
      <c r="H37" s="38" t="s">
        <v>45</v>
      </c>
      <c r="I37" s="39">
        <f>'Annexure-1'!I42</f>
        <v>5000</v>
      </c>
      <c r="J37" s="38" t="s">
        <v>45</v>
      </c>
      <c r="K37" s="39">
        <f t="shared" si="0"/>
        <v>5000</v>
      </c>
      <c r="L37" s="38" t="s">
        <v>45</v>
      </c>
      <c r="M37" s="40">
        <f t="shared" si="1"/>
        <v>5000</v>
      </c>
    </row>
    <row r="38" spans="1:15" s="27" customFormat="1" ht="15" customHeight="1">
      <c r="A38" s="36"/>
      <c r="C38" s="37" t="s">
        <v>70</v>
      </c>
      <c r="D38" s="437" t="str">
        <f>'Annexure-1'!C43</f>
        <v>U.L.I.P.</v>
      </c>
      <c r="E38" s="437"/>
      <c r="F38" s="437"/>
      <c r="G38" s="437"/>
      <c r="H38" s="38" t="s">
        <v>45</v>
      </c>
      <c r="I38" s="39">
        <f>'Annexure-1'!I43</f>
        <v>0</v>
      </c>
      <c r="J38" s="38" t="s">
        <v>45</v>
      </c>
      <c r="K38" s="39">
        <f t="shared" si="0"/>
        <v>0</v>
      </c>
      <c r="L38" s="38" t="s">
        <v>45</v>
      </c>
      <c r="M38" s="40">
        <f t="shared" si="1"/>
        <v>0</v>
      </c>
    </row>
    <row r="39" spans="1:15" s="27" customFormat="1" ht="15" customHeight="1">
      <c r="A39" s="36"/>
      <c r="C39" s="37" t="s">
        <v>71</v>
      </c>
      <c r="D39" s="437" t="str">
        <f>'Annexure-1'!C44</f>
        <v>S.B.I. Life Insurance</v>
      </c>
      <c r="E39" s="437"/>
      <c r="F39" s="437"/>
      <c r="G39" s="437"/>
      <c r="H39" s="38" t="s">
        <v>45</v>
      </c>
      <c r="I39" s="39">
        <f>'Annexure-1'!I44</f>
        <v>0</v>
      </c>
      <c r="J39" s="38" t="s">
        <v>45</v>
      </c>
      <c r="K39" s="39">
        <f t="shared" si="0"/>
        <v>0</v>
      </c>
      <c r="L39" s="38" t="s">
        <v>45</v>
      </c>
      <c r="M39" s="40">
        <f t="shared" si="1"/>
        <v>0</v>
      </c>
    </row>
    <row r="40" spans="1:15" s="27" customFormat="1" ht="15" customHeight="1">
      <c r="A40" s="36"/>
      <c r="C40" s="37" t="s">
        <v>72</v>
      </c>
      <c r="D40" s="437" t="str">
        <f>'Annexure-1'!C45</f>
        <v>ICICI Savings Bonds</v>
      </c>
      <c r="E40" s="437"/>
      <c r="F40" s="437"/>
      <c r="G40" s="437"/>
      <c r="H40" s="38" t="s">
        <v>45</v>
      </c>
      <c r="I40" s="39">
        <f>'Annexure-1'!I45</f>
        <v>50000</v>
      </c>
      <c r="J40" s="38" t="s">
        <v>45</v>
      </c>
      <c r="K40" s="39">
        <f t="shared" si="0"/>
        <v>50000</v>
      </c>
      <c r="L40" s="38" t="s">
        <v>45</v>
      </c>
      <c r="M40" s="40">
        <f t="shared" si="1"/>
        <v>50000</v>
      </c>
    </row>
    <row r="41" spans="1:15" s="27" customFormat="1" ht="15" customHeight="1">
      <c r="A41" s="36"/>
      <c r="C41" s="37" t="s">
        <v>73</v>
      </c>
      <c r="D41" s="437" t="str">
        <f>'Annexure-1'!C46</f>
        <v>IDBI Flexi Bonds</v>
      </c>
      <c r="E41" s="437"/>
      <c r="F41" s="437"/>
      <c r="G41" s="437"/>
      <c r="H41" s="38" t="s">
        <v>45</v>
      </c>
      <c r="I41" s="39">
        <f>'Annexure-1'!I46</f>
        <v>0</v>
      </c>
      <c r="J41" s="38" t="s">
        <v>45</v>
      </c>
      <c r="K41" s="39">
        <f t="shared" si="0"/>
        <v>0</v>
      </c>
      <c r="L41" s="38" t="s">
        <v>45</v>
      </c>
      <c r="M41" s="40">
        <f t="shared" si="1"/>
        <v>0</v>
      </c>
    </row>
    <row r="42" spans="1:15" s="27" customFormat="1" ht="15" customHeight="1">
      <c r="A42" s="36"/>
      <c r="C42" s="27" t="s">
        <v>441</v>
      </c>
      <c r="D42" s="437" t="str">
        <f>'Annexure-1'!C48</f>
        <v>Insurance premium &amp; others (MF, ULIP, FD, etc.)</v>
      </c>
      <c r="E42" s="437"/>
      <c r="F42" s="437"/>
      <c r="G42" s="437"/>
      <c r="H42" s="38" t="s">
        <v>45</v>
      </c>
      <c r="I42" s="39">
        <f>'Annexure-1'!I47</f>
        <v>0</v>
      </c>
      <c r="J42" s="38" t="s">
        <v>45</v>
      </c>
      <c r="K42" s="39">
        <f t="shared" si="0"/>
        <v>0</v>
      </c>
      <c r="L42" s="38" t="s">
        <v>45</v>
      </c>
      <c r="M42" s="40">
        <f t="shared" si="1"/>
        <v>0</v>
      </c>
    </row>
    <row r="43" spans="1:15" s="27" customFormat="1" ht="15" customHeight="1">
      <c r="A43" s="36"/>
      <c r="B43" s="37" t="s">
        <v>199</v>
      </c>
      <c r="C43" s="439" t="s">
        <v>513</v>
      </c>
      <c r="D43" s="439"/>
      <c r="E43" s="439"/>
      <c r="F43" s="439"/>
      <c r="G43" s="439"/>
      <c r="H43" s="38" t="s">
        <v>45</v>
      </c>
      <c r="I43" s="39">
        <f>'Annexure-1'!I48+'Annexure-1'!I49+'Annexure-1'!I50+'Annexure-1'!I51+'Annexure-1'!I52+'Annexure-1'!I53</f>
        <v>20000</v>
      </c>
      <c r="J43" s="38" t="s">
        <v>45</v>
      </c>
      <c r="K43" s="39">
        <f t="shared" si="0"/>
        <v>20000</v>
      </c>
      <c r="L43" s="38" t="s">
        <v>45</v>
      </c>
      <c r="M43" s="40">
        <f t="shared" si="1"/>
        <v>20000</v>
      </c>
    </row>
    <row r="44" spans="1:15" s="27" customFormat="1" ht="15" customHeight="1">
      <c r="A44" s="36"/>
      <c r="B44" s="37" t="s">
        <v>200</v>
      </c>
      <c r="C44" s="439" t="str">
        <f>Data!P26 &amp;"( 80 CCF )"</f>
        <v>Long-term Infrastructure Bonds( 80 CCF )</v>
      </c>
      <c r="D44" s="439"/>
      <c r="E44" s="439"/>
      <c r="F44" s="439"/>
      <c r="G44" s="439"/>
      <c r="H44" s="38" t="s">
        <v>45</v>
      </c>
      <c r="I44" s="39">
        <v>0</v>
      </c>
      <c r="J44" s="38" t="s">
        <v>45</v>
      </c>
      <c r="K44" s="39">
        <f t="shared" si="0"/>
        <v>0</v>
      </c>
      <c r="L44" s="38" t="s">
        <v>45</v>
      </c>
      <c r="M44" s="40">
        <f t="shared" si="1"/>
        <v>0</v>
      </c>
    </row>
    <row r="45" spans="1:15" s="27" customFormat="1" ht="15" customHeight="1">
      <c r="A45" s="166"/>
      <c r="B45" s="167"/>
      <c r="C45" s="168"/>
      <c r="D45" s="438" t="s">
        <v>14</v>
      </c>
      <c r="E45" s="438"/>
      <c r="F45" s="438"/>
      <c r="G45" s="438"/>
      <c r="H45" s="169" t="s">
        <v>45</v>
      </c>
      <c r="I45" s="170">
        <f>SUM(I34:I44)</f>
        <v>121030</v>
      </c>
      <c r="J45" s="169" t="s">
        <v>45</v>
      </c>
      <c r="K45" s="170">
        <f>SUM(K34:K44)</f>
        <v>121030</v>
      </c>
      <c r="L45" s="169" t="s">
        <v>45</v>
      </c>
      <c r="M45" s="171">
        <f>MIN(SUM(M34:M43),100000)+M44</f>
        <v>100000</v>
      </c>
    </row>
    <row r="46" spans="1:15" s="27" customFormat="1" ht="14.25" customHeight="1">
      <c r="A46" s="31"/>
      <c r="B46" s="164" t="s">
        <v>74</v>
      </c>
      <c r="C46" s="440" t="s">
        <v>208</v>
      </c>
      <c r="D46" s="440"/>
      <c r="E46" s="440"/>
      <c r="F46" s="440"/>
      <c r="G46" s="440"/>
      <c r="H46" s="33"/>
      <c r="I46" s="34"/>
      <c r="J46" s="33"/>
      <c r="K46" s="34"/>
      <c r="L46" s="33"/>
      <c r="M46" s="35"/>
    </row>
    <row r="47" spans="1:15" s="27" customFormat="1" ht="15" customHeight="1">
      <c r="A47" s="36"/>
      <c r="B47" s="37"/>
      <c r="C47" s="41" t="s">
        <v>194</v>
      </c>
      <c r="D47" s="437" t="str">
        <f>'Annexure-1'!C28</f>
        <v>U/Section 80 G</v>
      </c>
      <c r="E47" s="437"/>
      <c r="F47" s="437"/>
      <c r="G47" s="124">
        <v>1</v>
      </c>
      <c r="H47" s="38" t="s">
        <v>45</v>
      </c>
      <c r="I47" s="39">
        <f>'Annexure-1'!I28</f>
        <v>40</v>
      </c>
      <c r="J47" s="38" t="s">
        <v>45</v>
      </c>
      <c r="K47" s="39">
        <f>I47</f>
        <v>40</v>
      </c>
      <c r="L47" s="38" t="s">
        <v>45</v>
      </c>
      <c r="M47" s="40">
        <f t="shared" ref="M47:M53" si="2">MIN(I47,K47)</f>
        <v>40</v>
      </c>
      <c r="O47" s="39"/>
    </row>
    <row r="48" spans="1:15" s="27" customFormat="1" ht="15" customHeight="1">
      <c r="A48" s="36"/>
      <c r="B48" s="37"/>
      <c r="C48" s="41" t="s">
        <v>195</v>
      </c>
      <c r="D48" s="437" t="str">
        <f>'Annexure-1'!C29</f>
        <v/>
      </c>
      <c r="E48" s="437"/>
      <c r="F48" s="437"/>
      <c r="G48" s="124">
        <v>2</v>
      </c>
      <c r="H48" s="38" t="s">
        <v>45</v>
      </c>
      <c r="I48" s="39" t="str">
        <f>'Annexure-1'!I29</f>
        <v/>
      </c>
      <c r="J48" s="38" t="s">
        <v>45</v>
      </c>
      <c r="K48" s="39" t="str">
        <f t="shared" ref="K48:K53" si="3">I48</f>
        <v/>
      </c>
      <c r="L48" s="38" t="s">
        <v>45</v>
      </c>
      <c r="M48" s="40">
        <f t="shared" si="2"/>
        <v>0</v>
      </c>
      <c r="O48" s="39"/>
    </row>
    <row r="49" spans="1:15" s="27" customFormat="1" ht="15" customHeight="1">
      <c r="A49" s="36"/>
      <c r="B49" s="37"/>
      <c r="C49" s="41" t="s">
        <v>196</v>
      </c>
      <c r="D49" s="437" t="str">
        <f>'Annexure-1'!C30</f>
        <v/>
      </c>
      <c r="E49" s="437"/>
      <c r="F49" s="437"/>
      <c r="G49" s="124">
        <v>3</v>
      </c>
      <c r="H49" s="38" t="s">
        <v>45</v>
      </c>
      <c r="I49" s="39" t="str">
        <f>'Annexure-1'!I30</f>
        <v/>
      </c>
      <c r="J49" s="38" t="s">
        <v>45</v>
      </c>
      <c r="K49" s="39" t="str">
        <f t="shared" si="3"/>
        <v/>
      </c>
      <c r="L49" s="38" t="s">
        <v>45</v>
      </c>
      <c r="M49" s="40">
        <f t="shared" si="2"/>
        <v>0</v>
      </c>
      <c r="O49" s="39"/>
    </row>
    <row r="50" spans="1:15" s="27" customFormat="1" ht="15" customHeight="1">
      <c r="A50" s="36"/>
      <c r="B50" s="37"/>
      <c r="C50" s="41" t="s">
        <v>197</v>
      </c>
      <c r="D50" s="437" t="str">
        <f>'Annexure-1'!C31</f>
        <v/>
      </c>
      <c r="E50" s="437"/>
      <c r="F50" s="437"/>
      <c r="G50" s="124">
        <v>4</v>
      </c>
      <c r="H50" s="38" t="s">
        <v>45</v>
      </c>
      <c r="I50" s="39" t="str">
        <f>'Annexure-1'!I31</f>
        <v/>
      </c>
      <c r="J50" s="38" t="s">
        <v>45</v>
      </c>
      <c r="K50" s="39" t="str">
        <f t="shared" si="3"/>
        <v/>
      </c>
      <c r="L50" s="38" t="s">
        <v>45</v>
      </c>
      <c r="M50" s="40">
        <f t="shared" si="2"/>
        <v>0</v>
      </c>
      <c r="O50" s="39"/>
    </row>
    <row r="51" spans="1:15" s="27" customFormat="1" ht="15" customHeight="1">
      <c r="A51" s="36"/>
      <c r="B51" s="37"/>
      <c r="C51" s="41" t="s">
        <v>198</v>
      </c>
      <c r="D51" s="437" t="str">
        <f>'Annexure-1'!C32</f>
        <v/>
      </c>
      <c r="E51" s="437"/>
      <c r="F51" s="437"/>
      <c r="G51" s="124">
        <v>5</v>
      </c>
      <c r="H51" s="38" t="s">
        <v>45</v>
      </c>
      <c r="I51" s="39" t="str">
        <f>'Annexure-1'!I32</f>
        <v/>
      </c>
      <c r="J51" s="38" t="s">
        <v>45</v>
      </c>
      <c r="K51" s="39" t="str">
        <f t="shared" si="3"/>
        <v/>
      </c>
      <c r="L51" s="38" t="s">
        <v>45</v>
      </c>
      <c r="M51" s="40">
        <f t="shared" si="2"/>
        <v>0</v>
      </c>
      <c r="O51" s="39"/>
    </row>
    <row r="52" spans="1:15" s="27" customFormat="1" ht="15" customHeight="1">
      <c r="A52" s="36"/>
      <c r="B52" s="37"/>
      <c r="C52" s="41" t="s">
        <v>511</v>
      </c>
      <c r="D52" s="437" t="str">
        <f>'Annexure-1'!C33</f>
        <v/>
      </c>
      <c r="E52" s="437"/>
      <c r="F52" s="437"/>
      <c r="G52" s="124">
        <v>6</v>
      </c>
      <c r="H52" s="38" t="s">
        <v>45</v>
      </c>
      <c r="I52" s="39" t="str">
        <f>'Annexure-1'!I33</f>
        <v/>
      </c>
      <c r="J52" s="38" t="s">
        <v>45</v>
      </c>
      <c r="K52" s="39" t="str">
        <f t="shared" si="3"/>
        <v/>
      </c>
      <c r="L52" s="38" t="s">
        <v>45</v>
      </c>
      <c r="M52" s="40">
        <f t="shared" si="2"/>
        <v>0</v>
      </c>
      <c r="O52" s="39"/>
    </row>
    <row r="53" spans="1:15" s="27" customFormat="1" ht="15" customHeight="1">
      <c r="A53" s="36"/>
      <c r="B53" s="37"/>
      <c r="C53" s="41" t="s">
        <v>512</v>
      </c>
      <c r="D53" s="437" t="str">
        <f>'Annexure-1'!C34</f>
        <v/>
      </c>
      <c r="E53" s="437"/>
      <c r="F53" s="437"/>
      <c r="G53" s="124">
        <v>7</v>
      </c>
      <c r="H53" s="38" t="s">
        <v>45</v>
      </c>
      <c r="I53" s="39" t="str">
        <f>'Annexure-1'!I34</f>
        <v/>
      </c>
      <c r="J53" s="38" t="s">
        <v>45</v>
      </c>
      <c r="K53" s="39" t="str">
        <f t="shared" si="3"/>
        <v/>
      </c>
      <c r="L53" s="38" t="s">
        <v>45</v>
      </c>
      <c r="M53" s="40">
        <f t="shared" si="2"/>
        <v>0</v>
      </c>
    </row>
    <row r="54" spans="1:15" s="27" customFormat="1" ht="15" customHeight="1">
      <c r="A54" s="36">
        <v>10</v>
      </c>
      <c r="B54" s="437" t="s">
        <v>79</v>
      </c>
      <c r="C54" s="437"/>
      <c r="D54" s="437"/>
      <c r="E54" s="437"/>
      <c r="F54" s="437"/>
      <c r="G54" s="437"/>
      <c r="H54" s="38"/>
      <c r="I54" s="39"/>
      <c r="J54" s="38"/>
      <c r="K54" s="39"/>
      <c r="L54" s="38" t="s">
        <v>45</v>
      </c>
      <c r="M54" s="42">
        <f>SUM(M45:M53)</f>
        <v>100040</v>
      </c>
    </row>
    <row r="55" spans="1:15" s="27" customFormat="1" ht="15" customHeight="1">
      <c r="A55" s="36">
        <v>11</v>
      </c>
      <c r="B55" s="437" t="s">
        <v>80</v>
      </c>
      <c r="C55" s="437"/>
      <c r="D55" s="437"/>
      <c r="E55" s="437"/>
      <c r="F55" s="437"/>
      <c r="G55" s="437"/>
      <c r="H55" s="38"/>
      <c r="I55" s="39"/>
      <c r="J55" s="38"/>
      <c r="K55" s="39"/>
      <c r="L55" s="38" t="s">
        <v>45</v>
      </c>
      <c r="M55" s="42">
        <f>MAX(M29-M54,0)</f>
        <v>266228</v>
      </c>
    </row>
    <row r="56" spans="1:15" s="27" customFormat="1" ht="15" customHeight="1">
      <c r="A56" s="36">
        <v>12</v>
      </c>
      <c r="B56" s="437" t="s">
        <v>81</v>
      </c>
      <c r="C56" s="437"/>
      <c r="D56" s="437"/>
      <c r="E56" s="437"/>
      <c r="F56" s="437"/>
      <c r="G56" s="437"/>
      <c r="H56" s="38"/>
      <c r="I56" s="39"/>
      <c r="J56" s="38"/>
      <c r="K56" s="39"/>
      <c r="L56" s="38" t="s">
        <v>45</v>
      </c>
      <c r="M56" s="40">
        <f>Data!AY15</f>
        <v>6623</v>
      </c>
    </row>
    <row r="57" spans="1:15" s="27" customFormat="1" ht="28.5" customHeight="1">
      <c r="A57" s="340">
        <v>13</v>
      </c>
      <c r="B57" s="437" t="s">
        <v>726</v>
      </c>
      <c r="C57" s="437"/>
      <c r="D57" s="437"/>
      <c r="E57" s="437"/>
      <c r="F57" s="437"/>
      <c r="G57" s="437"/>
      <c r="H57" s="38"/>
      <c r="I57" s="39"/>
      <c r="J57" s="38" t="s">
        <v>45</v>
      </c>
      <c r="K57" s="39">
        <f>IF(M55&lt;500000,2000,0)</f>
        <v>2000</v>
      </c>
      <c r="L57" s="38"/>
      <c r="M57" s="40"/>
    </row>
    <row r="58" spans="1:15" s="27" customFormat="1" ht="15.95" customHeight="1">
      <c r="A58" s="340">
        <v>14</v>
      </c>
      <c r="B58" s="437" t="s">
        <v>82</v>
      </c>
      <c r="C58" s="437"/>
      <c r="D58" s="437"/>
      <c r="E58" s="437"/>
      <c r="F58" s="437"/>
      <c r="G58" s="437"/>
      <c r="H58" s="38"/>
      <c r="I58" s="39"/>
      <c r="J58" s="38"/>
      <c r="K58" s="39"/>
      <c r="L58" s="38" t="s">
        <v>45</v>
      </c>
      <c r="M58" s="40">
        <f>IF(M55&gt;1000000,ROUND(M56*0%,0),0)</f>
        <v>0</v>
      </c>
    </row>
    <row r="59" spans="1:15" s="27" customFormat="1" ht="17.25" customHeight="1">
      <c r="A59" s="340">
        <v>15</v>
      </c>
      <c r="B59" s="437" t="s">
        <v>514</v>
      </c>
      <c r="C59" s="437"/>
      <c r="D59" s="437"/>
      <c r="E59" s="437"/>
      <c r="F59" s="437"/>
      <c r="G59" s="437"/>
      <c r="H59" s="38"/>
      <c r="I59" s="39"/>
      <c r="J59" s="38"/>
      <c r="K59" s="39"/>
      <c r="L59" s="38" t="s">
        <v>45</v>
      </c>
      <c r="M59" s="40">
        <f>IF(M56&lt;K57,0,ROUND((M56-K57)*3%,0))</f>
        <v>139</v>
      </c>
    </row>
    <row r="60" spans="1:15" s="27" customFormat="1" ht="15.95" customHeight="1">
      <c r="A60" s="340">
        <v>16</v>
      </c>
      <c r="B60" s="437" t="s">
        <v>105</v>
      </c>
      <c r="C60" s="437"/>
      <c r="D60" s="437"/>
      <c r="E60" s="437"/>
      <c r="F60" s="437"/>
      <c r="G60" s="437"/>
      <c r="H60" s="38"/>
      <c r="I60" s="39"/>
      <c r="J60" s="38"/>
      <c r="K60" s="39"/>
      <c r="L60" s="38" t="s">
        <v>45</v>
      </c>
      <c r="M60" s="40">
        <f>IF(M56&lt;K57,0,SUM(M56-K57+M58+M59))</f>
        <v>4762</v>
      </c>
    </row>
    <row r="61" spans="1:15" s="27" customFormat="1" ht="15.95" customHeight="1">
      <c r="A61" s="340">
        <v>17</v>
      </c>
      <c r="B61" s="437" t="s">
        <v>83</v>
      </c>
      <c r="C61" s="437"/>
      <c r="D61" s="437"/>
      <c r="E61" s="437"/>
      <c r="F61" s="437"/>
      <c r="G61" s="437"/>
      <c r="H61" s="38"/>
      <c r="I61" s="39"/>
      <c r="J61" s="38" t="s">
        <v>45</v>
      </c>
      <c r="K61" s="39">
        <f>Data!M22</f>
        <v>0</v>
      </c>
      <c r="L61" s="38"/>
      <c r="M61" s="40"/>
    </row>
    <row r="62" spans="1:15" s="27" customFormat="1" ht="15.95" customHeight="1">
      <c r="A62" s="340">
        <v>18</v>
      </c>
      <c r="B62" s="437" t="s">
        <v>84</v>
      </c>
      <c r="C62" s="437"/>
      <c r="D62" s="437"/>
      <c r="E62" s="437"/>
      <c r="F62" s="437"/>
      <c r="G62" s="437"/>
      <c r="H62" s="38"/>
      <c r="I62" s="39"/>
      <c r="J62" s="39"/>
      <c r="K62" s="39"/>
      <c r="L62" s="38" t="s">
        <v>45</v>
      </c>
      <c r="M62" s="42">
        <f>M60-K61</f>
        <v>4762</v>
      </c>
    </row>
    <row r="63" spans="1:15" s="27" customFormat="1" ht="15.95" customHeight="1">
      <c r="A63" s="340">
        <v>19</v>
      </c>
      <c r="B63" s="41" t="s">
        <v>85</v>
      </c>
      <c r="C63" s="118" t="s">
        <v>221</v>
      </c>
      <c r="D63" s="437" t="s">
        <v>223</v>
      </c>
      <c r="E63" s="437"/>
      <c r="F63" s="437"/>
      <c r="G63" s="437"/>
      <c r="I63" s="39"/>
      <c r="J63" s="38" t="s">
        <v>45</v>
      </c>
      <c r="K63" s="39">
        <f>'Table-2'!O26+Data!M28</f>
        <v>4770</v>
      </c>
      <c r="M63" s="40"/>
    </row>
    <row r="64" spans="1:15" s="27" customFormat="1" ht="30" customHeight="1">
      <c r="A64" s="340"/>
      <c r="B64" s="37"/>
      <c r="C64" s="27" t="s">
        <v>222</v>
      </c>
      <c r="D64" s="437" t="s">
        <v>224</v>
      </c>
      <c r="E64" s="437"/>
      <c r="F64" s="437"/>
      <c r="G64" s="437"/>
      <c r="I64" s="39"/>
      <c r="J64" s="38" t="s">
        <v>45</v>
      </c>
      <c r="K64" s="39">
        <f>Data!M29</f>
        <v>0</v>
      </c>
      <c r="L64" s="38" t="s">
        <v>45</v>
      </c>
      <c r="M64" s="40">
        <f>K63+K64+Data!M27</f>
        <v>4770</v>
      </c>
    </row>
    <row r="65" spans="1:13" s="27" customFormat="1" ht="15.95" customHeight="1">
      <c r="A65" s="340">
        <v>20</v>
      </c>
      <c r="B65" s="437" t="str">
        <f>IF(M62&gt;M64,"Tax payable (17-18)","Tax refundable (18-17)")</f>
        <v>Tax refundable (18-17)</v>
      </c>
      <c r="C65" s="437"/>
      <c r="D65" s="437"/>
      <c r="E65" s="437"/>
      <c r="F65" s="437"/>
      <c r="G65" s="437"/>
      <c r="H65" s="38"/>
      <c r="I65" s="39"/>
      <c r="J65" s="38"/>
      <c r="K65" s="39"/>
      <c r="L65" s="38" t="s">
        <v>45</v>
      </c>
      <c r="M65" s="42">
        <f>IF(M62-M64&lt;10,0,M62-M64)</f>
        <v>0</v>
      </c>
    </row>
    <row r="66" spans="1:13" s="27" customFormat="1" ht="22.5" customHeight="1">
      <c r="A66" s="457" t="s">
        <v>234</v>
      </c>
      <c r="B66" s="459"/>
      <c r="C66" s="459"/>
      <c r="D66" s="459"/>
      <c r="E66" s="459"/>
      <c r="F66" s="459"/>
      <c r="G66" s="459"/>
      <c r="H66" s="459"/>
      <c r="I66" s="459"/>
      <c r="J66" s="459"/>
      <c r="K66" s="459"/>
      <c r="L66" s="459"/>
      <c r="M66" s="458"/>
    </row>
    <row r="67" spans="1:13" s="52" customFormat="1" ht="40.5" customHeight="1">
      <c r="A67" s="435" t="s">
        <v>219</v>
      </c>
      <c r="B67" s="444"/>
      <c r="C67" s="444"/>
      <c r="D67" s="436"/>
      <c r="E67" s="435" t="s">
        <v>210</v>
      </c>
      <c r="F67" s="436"/>
      <c r="G67" s="43" t="s">
        <v>95</v>
      </c>
      <c r="H67" s="445" t="s">
        <v>207</v>
      </c>
      <c r="I67" s="445"/>
      <c r="J67" s="445" t="s">
        <v>515</v>
      </c>
      <c r="K67" s="445"/>
      <c r="L67" s="445"/>
      <c r="M67" s="445"/>
    </row>
    <row r="68" spans="1:13" s="52" customFormat="1" ht="25.5" customHeight="1">
      <c r="A68" s="432"/>
      <c r="B68" s="433"/>
      <c r="C68" s="433"/>
      <c r="D68" s="434"/>
      <c r="E68" s="432"/>
      <c r="F68" s="434"/>
      <c r="G68" s="126"/>
      <c r="H68" s="441"/>
      <c r="I68" s="441"/>
      <c r="J68" s="441"/>
      <c r="K68" s="441"/>
      <c r="L68" s="441"/>
      <c r="M68" s="441"/>
    </row>
    <row r="69" spans="1:13" s="52" customFormat="1" ht="25.5" customHeight="1">
      <c r="A69" s="432"/>
      <c r="B69" s="433"/>
      <c r="C69" s="433"/>
      <c r="D69" s="434"/>
      <c r="E69" s="432"/>
      <c r="F69" s="434"/>
      <c r="G69" s="126"/>
      <c r="H69" s="441"/>
      <c r="I69" s="441"/>
      <c r="J69" s="441"/>
      <c r="K69" s="441"/>
      <c r="L69" s="441"/>
      <c r="M69" s="441"/>
    </row>
    <row r="70" spans="1:13" s="52" customFormat="1" ht="25.5" customHeight="1">
      <c r="A70" s="432"/>
      <c r="B70" s="433"/>
      <c r="C70" s="433"/>
      <c r="D70" s="434"/>
      <c r="E70" s="432"/>
      <c r="F70" s="434"/>
      <c r="G70" s="126"/>
      <c r="H70" s="441"/>
      <c r="I70" s="441"/>
      <c r="J70" s="441"/>
      <c r="K70" s="441"/>
      <c r="L70" s="441"/>
      <c r="M70" s="441"/>
    </row>
    <row r="71" spans="1:13" s="27" customFormat="1" ht="25.5" customHeight="1">
      <c r="A71" s="432"/>
      <c r="B71" s="433"/>
      <c r="C71" s="433"/>
      <c r="D71" s="434"/>
      <c r="E71" s="432"/>
      <c r="F71" s="434"/>
      <c r="G71" s="126"/>
      <c r="H71" s="441"/>
      <c r="I71" s="441"/>
      <c r="J71" s="441"/>
      <c r="K71" s="441"/>
      <c r="L71" s="441"/>
      <c r="M71" s="441"/>
    </row>
    <row r="72" spans="1:13" s="27" customFormat="1" ht="75" customHeight="1">
      <c r="A72" s="474" t="str">
        <f>CONCATENATE("                I, ",Data!D12,", S/o.",Data!D13,"  working in the capacity of ",Data!D14,", do here by certify that a sum of Rs. ",TEXT(M64,"##,##,###")," (Rupees",Data!BN2," only) has been deducted at source and paid to the credit of the central Government. I further certify that the information given above is true and correct based on the books of account documents and other available records.")</f>
        <v xml:space="preserve">                I, M Hari Prasad, S/o.Naga Bhushanam  working in the capacity of Gazetted Headmaster, do here by certify that a sum of Rs. 4,770 (Rupees four thousand seven hundred and seventy  only) has been deducted at source and paid to the credit of the central Government. I further certify that the information given above is true and correct based on the books of account documents and other available records.</v>
      </c>
      <c r="B72" s="475"/>
      <c r="C72" s="475"/>
      <c r="D72" s="475"/>
      <c r="E72" s="475"/>
      <c r="F72" s="475"/>
      <c r="G72" s="475"/>
      <c r="H72" s="475"/>
      <c r="I72" s="475"/>
      <c r="J72" s="475"/>
      <c r="K72" s="475"/>
      <c r="L72" s="475"/>
      <c r="M72" s="476"/>
    </row>
    <row r="73" spans="1:13" s="27" customFormat="1" ht="27" customHeight="1">
      <c r="A73" s="36"/>
      <c r="B73" s="37"/>
      <c r="C73" s="41"/>
      <c r="D73" s="41"/>
      <c r="E73" s="41"/>
      <c r="F73" s="41"/>
      <c r="G73" s="41"/>
      <c r="H73" s="44"/>
      <c r="I73" s="41"/>
      <c r="J73" s="44"/>
      <c r="K73" s="41"/>
      <c r="L73" s="44"/>
      <c r="M73" s="45"/>
    </row>
    <row r="74" spans="1:13" s="27" customFormat="1" ht="15.95" customHeight="1">
      <c r="A74" s="46" t="str">
        <f>"Place :"&amp;PROPER(Data!D18)</f>
        <v>Place :Kothapalem</v>
      </c>
      <c r="B74" s="37"/>
      <c r="C74" s="47"/>
      <c r="D74" s="47"/>
      <c r="E74" s="47"/>
      <c r="F74" s="47"/>
      <c r="G74" s="47"/>
      <c r="H74" s="44"/>
      <c r="I74" s="41"/>
      <c r="J74" s="44"/>
      <c r="K74" s="41"/>
      <c r="L74" s="44"/>
      <c r="M74" s="48" t="s">
        <v>94</v>
      </c>
    </row>
    <row r="75" spans="1:13" s="27" customFormat="1" ht="15.95" customHeight="1">
      <c r="A75" s="46" t="s">
        <v>211</v>
      </c>
      <c r="B75" s="47"/>
      <c r="C75" s="41"/>
      <c r="D75" s="41"/>
      <c r="E75" s="41"/>
      <c r="F75" s="41"/>
      <c r="G75" s="41"/>
      <c r="H75" s="44"/>
      <c r="I75" s="56" t="s">
        <v>212</v>
      </c>
      <c r="J75" s="477" t="str">
        <f>Data!D12</f>
        <v>M Hari Prasad</v>
      </c>
      <c r="K75" s="477"/>
      <c r="L75" s="477"/>
      <c r="M75" s="478"/>
    </row>
    <row r="76" spans="1:13" s="27" customFormat="1" ht="24" customHeight="1">
      <c r="A76" s="165" t="s">
        <v>727</v>
      </c>
      <c r="B76" s="49"/>
      <c r="C76" s="50"/>
      <c r="D76" s="50"/>
      <c r="E76" s="50"/>
      <c r="F76" s="50"/>
      <c r="G76" s="50"/>
      <c r="H76" s="51"/>
      <c r="I76" s="55" t="s">
        <v>213</v>
      </c>
      <c r="J76" s="472" t="str">
        <f>Data!D14</f>
        <v>Gazetted Headmaster</v>
      </c>
      <c r="K76" s="472"/>
      <c r="L76" s="472"/>
      <c r="M76" s="473"/>
    </row>
    <row r="77" spans="1:13" s="27" customFormat="1" hidden="1">
      <c r="A77" s="53"/>
      <c r="B77" s="53"/>
      <c r="H77" s="54"/>
      <c r="J77" s="54"/>
      <c r="L77" s="54"/>
    </row>
    <row r="78" spans="1:13" s="27" customFormat="1" hidden="1">
      <c r="A78" s="53"/>
      <c r="B78" s="53"/>
      <c r="H78" s="54"/>
      <c r="J78" s="54"/>
      <c r="L78" s="54"/>
    </row>
    <row r="79" spans="1:13" s="27" customFormat="1" hidden="1">
      <c r="A79" s="53"/>
      <c r="B79" s="53"/>
      <c r="H79" s="54"/>
      <c r="J79" s="54"/>
      <c r="L79" s="54"/>
    </row>
    <row r="80" spans="1:13" s="27" customFormat="1" hidden="1">
      <c r="A80" s="53"/>
      <c r="B80" s="53"/>
      <c r="H80" s="54"/>
      <c r="J80" s="54"/>
      <c r="L80" s="54"/>
    </row>
    <row r="81" spans="1:12" s="27" customFormat="1" hidden="1">
      <c r="A81" s="53"/>
      <c r="B81" s="53"/>
      <c r="H81" s="54"/>
      <c r="J81" s="54"/>
      <c r="L81" s="54"/>
    </row>
    <row r="82" spans="1:12" s="27" customFormat="1" hidden="1">
      <c r="A82" s="53"/>
      <c r="B82" s="53"/>
      <c r="H82" s="54"/>
      <c r="J82" s="54"/>
      <c r="L82" s="54"/>
    </row>
    <row r="83" spans="1:12" hidden="1"/>
    <row r="84" spans="1:12" hidden="1"/>
    <row r="85" spans="1:12" hidden="1"/>
    <row r="86" spans="1:12" hidden="1"/>
    <row r="87" spans="1:12" hidden="1"/>
    <row r="88" spans="1:12" hidden="1"/>
    <row r="89" spans="1:12" hidden="1"/>
    <row r="90" spans="1:12" hidden="1"/>
    <row r="91" spans="1:12" hidden="1"/>
    <row r="92" spans="1:12" hidden="1"/>
    <row r="93" spans="1:12" hidden="1"/>
    <row r="94" spans="1:12" hidden="1"/>
    <row r="95" spans="1:12" hidden="1"/>
    <row r="96" spans="1:1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sheetData>
  <sheetProtection sheet="1" objects="1" scenarios="1" selectLockedCells="1"/>
  <mergeCells count="101">
    <mergeCell ref="J76:M76"/>
    <mergeCell ref="D47:F47"/>
    <mergeCell ref="D50:F50"/>
    <mergeCell ref="B30:G30"/>
    <mergeCell ref="D35:G35"/>
    <mergeCell ref="E68:F68"/>
    <mergeCell ref="B61:G61"/>
    <mergeCell ref="B62:G62"/>
    <mergeCell ref="H68:I68"/>
    <mergeCell ref="A72:M72"/>
    <mergeCell ref="J71:M71"/>
    <mergeCell ref="J70:M70"/>
    <mergeCell ref="D49:F49"/>
    <mergeCell ref="A68:D68"/>
    <mergeCell ref="E69:F69"/>
    <mergeCell ref="B55:G55"/>
    <mergeCell ref="H71:I71"/>
    <mergeCell ref="B54:G54"/>
    <mergeCell ref="J75:M75"/>
    <mergeCell ref="C46:G46"/>
    <mergeCell ref="D38:G38"/>
    <mergeCell ref="D48:F48"/>
    <mergeCell ref="A70:D70"/>
    <mergeCell ref="A66:M66"/>
    <mergeCell ref="A1:M1"/>
    <mergeCell ref="A2:M2"/>
    <mergeCell ref="A3:M3"/>
    <mergeCell ref="H9:I9"/>
    <mergeCell ref="H4:M4"/>
    <mergeCell ref="L9:M9"/>
    <mergeCell ref="A4:G4"/>
    <mergeCell ref="F7:G7"/>
    <mergeCell ref="A5:G5"/>
    <mergeCell ref="F6:G6"/>
    <mergeCell ref="H5:M5"/>
    <mergeCell ref="L8:M8"/>
    <mergeCell ref="H6:M6"/>
    <mergeCell ref="A6:E6"/>
    <mergeCell ref="H8:K8"/>
    <mergeCell ref="J9:K9"/>
    <mergeCell ref="A7:E7"/>
    <mergeCell ref="H7:M7"/>
    <mergeCell ref="A8:G9"/>
    <mergeCell ref="J69:M69"/>
    <mergeCell ref="E70:F70"/>
    <mergeCell ref="H70:I70"/>
    <mergeCell ref="J68:M68"/>
    <mergeCell ref="C16:G16"/>
    <mergeCell ref="C17:G17"/>
    <mergeCell ref="C28:G28"/>
    <mergeCell ref="D34:G34"/>
    <mergeCell ref="L32:M33"/>
    <mergeCell ref="H32:I33"/>
    <mergeCell ref="J32:K33"/>
    <mergeCell ref="B56:G56"/>
    <mergeCell ref="B59:G59"/>
    <mergeCell ref="D53:F53"/>
    <mergeCell ref="D39:G39"/>
    <mergeCell ref="D42:G42"/>
    <mergeCell ref="A67:D67"/>
    <mergeCell ref="H69:I69"/>
    <mergeCell ref="H67:I67"/>
    <mergeCell ref="J67:M67"/>
    <mergeCell ref="D51:F51"/>
    <mergeCell ref="B58:G58"/>
    <mergeCell ref="B10:C10"/>
    <mergeCell ref="B29:G29"/>
    <mergeCell ref="B23:G23"/>
    <mergeCell ref="D37:G37"/>
    <mergeCell ref="C11:G11"/>
    <mergeCell ref="C14:G14"/>
    <mergeCell ref="C13:G13"/>
    <mergeCell ref="B15:G15"/>
    <mergeCell ref="C18:G18"/>
    <mergeCell ref="C12:G12"/>
    <mergeCell ref="C22:G22"/>
    <mergeCell ref="B25:G25"/>
    <mergeCell ref="A71:D71"/>
    <mergeCell ref="E71:F71"/>
    <mergeCell ref="A69:D69"/>
    <mergeCell ref="E67:F67"/>
    <mergeCell ref="B19:G19"/>
    <mergeCell ref="D64:G64"/>
    <mergeCell ref="B65:G65"/>
    <mergeCell ref="D45:G45"/>
    <mergeCell ref="C27:G27"/>
    <mergeCell ref="C33:G33"/>
    <mergeCell ref="D63:G63"/>
    <mergeCell ref="D40:G40"/>
    <mergeCell ref="D41:G41"/>
    <mergeCell ref="C43:G43"/>
    <mergeCell ref="C44:G44"/>
    <mergeCell ref="B60:G60"/>
    <mergeCell ref="B57:G57"/>
    <mergeCell ref="D52:F52"/>
    <mergeCell ref="D36:G36"/>
    <mergeCell ref="C26:G26"/>
    <mergeCell ref="B24:G24"/>
    <mergeCell ref="B20:G20"/>
    <mergeCell ref="C21:G21"/>
    <mergeCell ref="B31:G31"/>
  </mergeCells>
  <phoneticPr fontId="9" type="noConversion"/>
  <printOptions horizontalCentered="1"/>
  <pageMargins left="0.5" right="0.5" top="0.54" bottom="0.46" header="0.25" footer="0.25"/>
  <pageSetup paperSize="9" orientation="portrait" horizontalDpi="300" verticalDpi="300" r:id="rId1"/>
  <rowBreaks count="1" manualBreakCount="1">
    <brk id="45" max="16383" man="1"/>
  </rowBreaks>
</worksheet>
</file>

<file path=xl/worksheets/sheet7.xml><?xml version="1.0" encoding="utf-8"?>
<worksheet xmlns="http://schemas.openxmlformats.org/spreadsheetml/2006/main" xmlns:r="http://schemas.openxmlformats.org/officeDocument/2006/relationships">
  <dimension ref="A1:C11"/>
  <sheetViews>
    <sheetView showGridLines="0" workbookViewId="0">
      <selection activeCell="C4" sqref="C4"/>
    </sheetView>
  </sheetViews>
  <sheetFormatPr defaultColWidth="0" defaultRowHeight="12.75" zeroHeight="1"/>
  <cols>
    <col min="1" max="1" width="12.5703125" customWidth="1"/>
    <col min="2" max="2" width="47.42578125" customWidth="1"/>
    <col min="3" max="3" width="24.7109375" customWidth="1"/>
  </cols>
  <sheetData>
    <row r="1" spans="1:3" s="173" customFormat="1" ht="46.5" customHeight="1">
      <c r="A1" s="479" t="s">
        <v>609</v>
      </c>
      <c r="B1" s="479"/>
      <c r="C1" s="479"/>
    </row>
    <row r="2" spans="1:3" ht="113.25" customHeight="1">
      <c r="A2" s="480" t="str">
        <f>"                   Received a sum of Rs."&amp;TEXT(Data!D36*12,"##,##,###")&amp;"/- (in words rupees"&amp;LOWER(Data!BN3)&amp;" only) from "&amp;IF(Data!H4=Data!BA23,"Sri ","Smt ")&amp;PROPER(Data!X7)&amp;" of "&amp;Data!D6&amp;", "&amp;Data!D7&amp;", "&amp;" in respect of rent for being a tenant  in my house bearing "&amp;PROPER(Data!AB28)&amp;" for the period from "&amp;TEXT(Data!AA5,"MMMM 'YY")&amp;"  to "&amp;TEXT(Data!AA16,"MMMM 'YY")</f>
        <v xml:space="preserve">                   Received a sum of Rs.78,000/- (in words rupees seventy eight thousand only) from Sri Nainala Srinivas of Z.P.P.High School, Isukapudi,  in respect of rent for being a tenant  in my house bearing H.No.3-4-34/5, Bank Colony, K.Agraharam, Amalapuram for the period from March '13  to February '14</v>
      </c>
      <c r="B2" s="480"/>
      <c r="C2" s="480"/>
    </row>
    <row r="3" spans="1:3" ht="43.5" customHeight="1"/>
    <row r="4" spans="1:3" s="175" customFormat="1" ht="20.25" customHeight="1">
      <c r="A4" s="174" t="str">
        <f>"Station: "</f>
        <v xml:space="preserve">Station: </v>
      </c>
      <c r="C4" s="176" t="s">
        <v>610</v>
      </c>
    </row>
    <row r="5" spans="1:3" ht="20.25" customHeight="1">
      <c r="A5" s="177" t="s">
        <v>611</v>
      </c>
    </row>
    <row r="6" spans="1:3" ht="187.5" customHeight="1"/>
    <row r="7" spans="1:3" s="173" customFormat="1" ht="46.5" customHeight="1">
      <c r="A7" s="479" t="str">
        <f>A1</f>
        <v>RENT RECEIPT</v>
      </c>
      <c r="B7" s="479"/>
      <c r="C7" s="479"/>
    </row>
    <row r="8" spans="1:3" ht="113.25" customHeight="1">
      <c r="A8" s="480" t="str">
        <f>A2</f>
        <v xml:space="preserve">                   Received a sum of Rs.78,000/- (in words rupees seventy eight thousand only) from Sri Nainala Srinivas of Z.P.P.High School, Isukapudi,  in respect of rent for being a tenant  in my house bearing H.No.3-4-34/5, Bank Colony, K.Agraharam, Amalapuram for the period from March '13  to February '14</v>
      </c>
      <c r="B8" s="480"/>
      <c r="C8" s="480"/>
    </row>
    <row r="9" spans="1:3" ht="43.5" customHeight="1"/>
    <row r="10" spans="1:3" s="175" customFormat="1" ht="20.25" customHeight="1">
      <c r="A10" s="174" t="str">
        <f>A4</f>
        <v xml:space="preserve">Station: </v>
      </c>
      <c r="C10" s="176" t="str">
        <f>C4</f>
        <v>Signature of the House Owner</v>
      </c>
    </row>
    <row r="11" spans="1:3" ht="20.25" customHeight="1">
      <c r="A11" s="174" t="str">
        <f>A5</f>
        <v>Date:</v>
      </c>
    </row>
  </sheetData>
  <sheetProtection sheet="1" objects="1" scenarios="1" selectLockedCells="1" selectUnlockedCells="1"/>
  <mergeCells count="4">
    <mergeCell ref="A1:C1"/>
    <mergeCell ref="A2:C2"/>
    <mergeCell ref="A7:C7"/>
    <mergeCell ref="A8:C8"/>
  </mergeCells>
  <phoneticPr fontId="80" type="noConversion"/>
  <printOptions horizontalCentered="1"/>
  <pageMargins left="0.7" right="0.7" top="0.75" bottom="0.75" header="0.3" footer="0.3"/>
  <pageSetup paperSize="9" orientation="portrait" verticalDpi="0" r:id="rId1"/>
  <ignoredErrors>
    <ignoredError sqref="A10" evalError="1"/>
  </ignoredErrors>
</worksheet>
</file>

<file path=xl/worksheets/sheet8.xml><?xml version="1.0" encoding="utf-8"?>
<worksheet xmlns="http://schemas.openxmlformats.org/spreadsheetml/2006/main" xmlns:r="http://schemas.openxmlformats.org/officeDocument/2006/relationships">
  <sheetPr>
    <pageSetUpPr autoPageBreaks="0"/>
  </sheetPr>
  <dimension ref="A1:R41"/>
  <sheetViews>
    <sheetView showGridLines="0" workbookViewId="0">
      <selection activeCell="J19" sqref="J19:R19"/>
    </sheetView>
  </sheetViews>
  <sheetFormatPr defaultColWidth="0" defaultRowHeight="12.75" zeroHeight="1"/>
  <cols>
    <col min="1" max="1" width="6.7109375" style="104" customWidth="1"/>
    <col min="2" max="3" width="3.28515625" style="104" customWidth="1"/>
    <col min="4" max="4" width="8.28515625" style="104" customWidth="1"/>
    <col min="5" max="5" width="27.28515625" style="104" customWidth="1"/>
    <col min="6" max="6" width="3.28515625" style="116" customWidth="1"/>
    <col min="7" max="7" width="12.7109375" style="104" customWidth="1"/>
    <col min="8" max="8" width="8.7109375" style="104" customWidth="1"/>
    <col min="9" max="9" width="3.28515625" style="104" customWidth="1"/>
    <col min="10" max="18" width="2.7109375" style="104" customWidth="1"/>
    <col min="19" max="19" width="0.140625" style="104" customWidth="1"/>
    <col min="20" max="16384" width="0" style="104" hidden="1"/>
  </cols>
  <sheetData>
    <row r="1" spans="1:18" ht="33" customHeight="1">
      <c r="A1" s="504" t="s">
        <v>295</v>
      </c>
      <c r="B1" s="505"/>
      <c r="C1" s="505"/>
      <c r="D1" s="505"/>
      <c r="E1" s="505"/>
      <c r="F1" s="505"/>
      <c r="G1" s="505"/>
      <c r="H1" s="505"/>
      <c r="I1" s="505"/>
      <c r="J1" s="505"/>
      <c r="K1" s="505"/>
      <c r="L1" s="505"/>
      <c r="M1" s="505"/>
      <c r="N1" s="505"/>
      <c r="O1" s="505"/>
      <c r="P1" s="505"/>
      <c r="Q1" s="505"/>
      <c r="R1" s="506"/>
    </row>
    <row r="2" spans="1:18" ht="93.75" customHeight="1">
      <c r="A2" s="507"/>
      <c r="B2" s="508"/>
      <c r="C2" s="508"/>
      <c r="D2" s="508"/>
      <c r="E2" s="508"/>
      <c r="F2" s="508"/>
      <c r="G2" s="508"/>
      <c r="H2" s="508"/>
      <c r="I2" s="508"/>
      <c r="J2" s="508"/>
      <c r="K2" s="508"/>
      <c r="L2" s="508"/>
      <c r="M2" s="508"/>
      <c r="N2" s="508"/>
      <c r="O2" s="508"/>
      <c r="P2" s="508"/>
      <c r="Q2" s="508"/>
      <c r="R2" s="509"/>
    </row>
    <row r="3" spans="1:18" ht="39.75" customHeight="1">
      <c r="A3" s="510" t="s">
        <v>292</v>
      </c>
      <c r="B3" s="511"/>
      <c r="C3" s="511"/>
      <c r="D3" s="511"/>
      <c r="E3" s="511"/>
      <c r="F3" s="511"/>
      <c r="G3" s="511"/>
      <c r="H3" s="511"/>
      <c r="I3" s="511"/>
      <c r="J3" s="511"/>
      <c r="K3" s="511"/>
      <c r="L3" s="511"/>
      <c r="M3" s="511"/>
      <c r="N3" s="511"/>
      <c r="O3" s="511"/>
      <c r="P3" s="511"/>
      <c r="Q3" s="511"/>
      <c r="R3" s="512"/>
    </row>
    <row r="4" spans="1:18" s="105" customFormat="1" ht="40.5" customHeight="1">
      <c r="A4" s="513" t="str">
        <f>"Received with thanks from "&amp;Data!D2&amp;" a return of income and / or return of fringe benefits in Form No. ITR 1 / 2  for assessment year  "&amp;"2010 - 11 having the following particulars."</f>
        <v>Received with thanks from Nainala Srinivas a return of income and / or return of fringe benefits in Form No. ITR 1 / 2  for assessment year  2010 - 11 having the following particulars.</v>
      </c>
      <c r="B4" s="514"/>
      <c r="C4" s="514"/>
      <c r="D4" s="514"/>
      <c r="E4" s="514"/>
      <c r="F4" s="514"/>
      <c r="G4" s="514"/>
      <c r="H4" s="514"/>
      <c r="I4" s="514"/>
      <c r="J4" s="514"/>
      <c r="K4" s="514"/>
      <c r="L4" s="514"/>
      <c r="M4" s="514"/>
      <c r="N4" s="514"/>
      <c r="O4" s="514"/>
      <c r="P4" s="514"/>
      <c r="Q4" s="514"/>
      <c r="R4" s="515"/>
    </row>
    <row r="5" spans="1:18" s="105" customFormat="1" ht="12" customHeight="1">
      <c r="A5" s="522" t="s">
        <v>244</v>
      </c>
      <c r="B5" s="516" t="s">
        <v>284</v>
      </c>
      <c r="C5" s="517"/>
      <c r="D5" s="517"/>
      <c r="E5" s="517"/>
      <c r="F5" s="517"/>
      <c r="G5" s="517"/>
      <c r="H5" s="518"/>
      <c r="I5" s="517" t="s">
        <v>245</v>
      </c>
      <c r="J5" s="517"/>
      <c r="K5" s="517"/>
      <c r="L5" s="517"/>
      <c r="M5" s="517"/>
      <c r="N5" s="517"/>
      <c r="O5" s="517"/>
      <c r="P5" s="517"/>
      <c r="Q5" s="517"/>
      <c r="R5" s="527"/>
    </row>
    <row r="6" spans="1:18" s="105" customFormat="1" ht="21.95" customHeight="1">
      <c r="A6" s="522"/>
      <c r="B6" s="519" t="str">
        <f>UPPER(Data!D2)</f>
        <v>NAINALA SRINIVAS</v>
      </c>
      <c r="C6" s="520"/>
      <c r="D6" s="520"/>
      <c r="E6" s="520"/>
      <c r="F6" s="520"/>
      <c r="G6" s="520"/>
      <c r="H6" s="521"/>
      <c r="I6" s="106" t="str">
        <f>'ITR 1'!AH5</f>
        <v>A</v>
      </c>
      <c r="J6" s="106" t="str">
        <f>'ITR 1'!AI5</f>
        <v>C</v>
      </c>
      <c r="K6" s="106" t="str">
        <f>'ITR 1'!AJ5</f>
        <v>P</v>
      </c>
      <c r="L6" s="106" t="str">
        <f>'ITR 1'!AK5</f>
        <v>P</v>
      </c>
      <c r="M6" s="106" t="str">
        <f>'ITR 1'!AL5</f>
        <v>N</v>
      </c>
      <c r="N6" s="106" t="str">
        <f>'ITR 1'!AM5</f>
        <v>5</v>
      </c>
      <c r="O6" s="106" t="str">
        <f>'ITR 1'!AN5</f>
        <v>0</v>
      </c>
      <c r="P6" s="106" t="str">
        <f>'ITR 1'!AO5</f>
        <v>1</v>
      </c>
      <c r="Q6" s="106" t="str">
        <f>'ITR 1'!AP5</f>
        <v>6</v>
      </c>
      <c r="R6" s="122" t="str">
        <f>'ITR 1'!AQ5</f>
        <v>Q</v>
      </c>
    </row>
    <row r="7" spans="1:18" s="105" customFormat="1" ht="12" customHeight="1">
      <c r="A7" s="500"/>
      <c r="B7" s="523" t="s">
        <v>246</v>
      </c>
      <c r="C7" s="524"/>
      <c r="D7" s="524"/>
      <c r="E7" s="524"/>
      <c r="F7" s="525"/>
      <c r="G7" s="523" t="s">
        <v>372</v>
      </c>
      <c r="H7" s="524"/>
      <c r="I7" s="524"/>
      <c r="J7" s="524"/>
      <c r="K7" s="524"/>
      <c r="L7" s="524"/>
      <c r="M7" s="524"/>
      <c r="N7" s="524"/>
      <c r="O7" s="524"/>
      <c r="P7" s="524"/>
      <c r="Q7" s="524"/>
      <c r="R7" s="528"/>
    </row>
    <row r="8" spans="1:18" s="105" customFormat="1" ht="21.95" customHeight="1">
      <c r="A8" s="500"/>
      <c r="B8" s="519" t="str">
        <f>'ITR 1'!C7</f>
        <v>H.No.3-4-34/5</v>
      </c>
      <c r="C8" s="520"/>
      <c r="D8" s="520"/>
      <c r="E8" s="520"/>
      <c r="F8" s="521"/>
      <c r="G8" s="519" t="str">
        <f>'ITR 1'!T7</f>
        <v>AMALAPURAM</v>
      </c>
      <c r="H8" s="520"/>
      <c r="I8" s="520"/>
      <c r="J8" s="520"/>
      <c r="K8" s="520"/>
      <c r="L8" s="520"/>
      <c r="M8" s="520"/>
      <c r="N8" s="520"/>
      <c r="O8" s="520"/>
      <c r="P8" s="520"/>
      <c r="Q8" s="520"/>
      <c r="R8" s="526"/>
    </row>
    <row r="9" spans="1:18" s="105" customFormat="1" ht="12" customHeight="1">
      <c r="A9" s="500"/>
      <c r="B9" s="516" t="s">
        <v>285</v>
      </c>
      <c r="C9" s="517"/>
      <c r="D9" s="517"/>
      <c r="E9" s="517"/>
      <c r="F9" s="518"/>
      <c r="G9" s="516" t="s">
        <v>247</v>
      </c>
      <c r="H9" s="517"/>
      <c r="I9" s="517"/>
      <c r="J9" s="517"/>
      <c r="K9" s="517"/>
      <c r="L9" s="517"/>
      <c r="M9" s="517"/>
      <c r="N9" s="517"/>
      <c r="O9" s="517"/>
      <c r="P9" s="517"/>
      <c r="Q9" s="517"/>
      <c r="R9" s="527"/>
    </row>
    <row r="10" spans="1:18" s="105" customFormat="1" ht="21.95" customHeight="1">
      <c r="A10" s="500"/>
      <c r="B10" s="519" t="str">
        <f>'ITR 1'!C9</f>
        <v>AMALAPURAM</v>
      </c>
      <c r="C10" s="520"/>
      <c r="D10" s="520"/>
      <c r="E10" s="520"/>
      <c r="F10" s="521"/>
      <c r="G10" s="519" t="str">
        <f>'ITR 1'!T9</f>
        <v>AMALAPURAM</v>
      </c>
      <c r="H10" s="520"/>
      <c r="I10" s="520"/>
      <c r="J10" s="520"/>
      <c r="K10" s="520"/>
      <c r="L10" s="520"/>
      <c r="M10" s="520"/>
      <c r="N10" s="520"/>
      <c r="O10" s="520"/>
      <c r="P10" s="520"/>
      <c r="Q10" s="520"/>
      <c r="R10" s="526"/>
    </row>
    <row r="11" spans="1:18" s="105" customFormat="1" ht="12" customHeight="1">
      <c r="A11" s="500"/>
      <c r="B11" s="516" t="s">
        <v>286</v>
      </c>
      <c r="C11" s="517"/>
      <c r="D11" s="517"/>
      <c r="E11" s="517"/>
      <c r="F11" s="518"/>
      <c r="G11" s="516" t="s">
        <v>288</v>
      </c>
      <c r="H11" s="517"/>
      <c r="I11" s="518"/>
      <c r="J11" s="117" t="s">
        <v>365</v>
      </c>
      <c r="K11" s="107"/>
      <c r="L11" s="107"/>
      <c r="M11" s="107"/>
      <c r="N11" s="107"/>
      <c r="O11" s="107"/>
      <c r="P11" s="107"/>
      <c r="Q11" s="107"/>
      <c r="R11" s="108"/>
    </row>
    <row r="12" spans="1:18" s="105" customFormat="1" ht="21.95" customHeight="1">
      <c r="A12" s="500"/>
      <c r="B12" s="531" t="str">
        <f>'ITR 1'!C11</f>
        <v>EAST GODAVARI</v>
      </c>
      <c r="C12" s="532"/>
      <c r="D12" s="532"/>
      <c r="E12" s="532"/>
      <c r="F12" s="533"/>
      <c r="G12" s="519" t="str">
        <f>'ITR 1'!T11</f>
        <v>ANDHRAPRADESH</v>
      </c>
      <c r="H12" s="520"/>
      <c r="I12" s="520"/>
      <c r="J12" s="109"/>
      <c r="K12" s="110"/>
      <c r="L12" s="110"/>
      <c r="M12" s="110"/>
      <c r="N12" s="110"/>
      <c r="O12" s="111"/>
      <c r="P12" s="111"/>
      <c r="Q12" s="110"/>
      <c r="R12" s="112"/>
    </row>
    <row r="13" spans="1:18" s="105" customFormat="1" ht="12" customHeight="1">
      <c r="A13" s="500"/>
      <c r="B13" s="516" t="s">
        <v>289</v>
      </c>
      <c r="C13" s="517"/>
      <c r="D13" s="517"/>
      <c r="E13" s="517"/>
      <c r="F13" s="517"/>
      <c r="G13" s="524"/>
      <c r="H13" s="516" t="s">
        <v>248</v>
      </c>
      <c r="I13" s="517"/>
      <c r="J13" s="517"/>
      <c r="K13" s="517"/>
      <c r="L13" s="517"/>
      <c r="M13" s="517"/>
      <c r="N13" s="517"/>
      <c r="O13" s="517"/>
      <c r="P13" s="517"/>
      <c r="Q13" s="517"/>
      <c r="R13" s="527"/>
    </row>
    <row r="14" spans="1:18" s="105" customFormat="1" ht="21.95" customHeight="1">
      <c r="A14" s="500"/>
      <c r="B14" s="529"/>
      <c r="C14" s="530"/>
      <c r="D14" s="530"/>
      <c r="E14" s="530"/>
      <c r="F14" s="530"/>
      <c r="G14" s="530"/>
      <c r="H14" s="534"/>
      <c r="I14" s="535"/>
      <c r="J14" s="535"/>
      <c r="K14" s="535"/>
      <c r="L14" s="535"/>
      <c r="M14" s="535"/>
      <c r="N14" s="535"/>
      <c r="O14" s="535"/>
      <c r="P14" s="535"/>
      <c r="Q14" s="535"/>
      <c r="R14" s="536"/>
    </row>
    <row r="15" spans="1:18" s="105" customFormat="1" ht="15.95" customHeight="1">
      <c r="A15" s="500" t="s">
        <v>290</v>
      </c>
      <c r="B15" s="103">
        <v>1</v>
      </c>
      <c r="C15" s="485" t="s">
        <v>249</v>
      </c>
      <c r="D15" s="485"/>
      <c r="E15" s="485"/>
      <c r="F15" s="485"/>
      <c r="G15" s="485"/>
      <c r="H15" s="503"/>
      <c r="I15" s="113">
        <v>1</v>
      </c>
      <c r="J15" s="482">
        <f>'ITR 1'!AK19</f>
        <v>366268</v>
      </c>
      <c r="K15" s="483"/>
      <c r="L15" s="483"/>
      <c r="M15" s="483"/>
      <c r="N15" s="483"/>
      <c r="O15" s="483"/>
      <c r="P15" s="483"/>
      <c r="Q15" s="483"/>
      <c r="R15" s="484"/>
    </row>
    <row r="16" spans="1:18" s="105" customFormat="1" ht="15.95" customHeight="1">
      <c r="A16" s="500"/>
      <c r="B16" s="103">
        <v>2</v>
      </c>
      <c r="C16" s="485" t="s">
        <v>250</v>
      </c>
      <c r="D16" s="485"/>
      <c r="E16" s="485"/>
      <c r="F16" s="485"/>
      <c r="G16" s="485"/>
      <c r="H16" s="485"/>
      <c r="I16" s="113">
        <v>2</v>
      </c>
      <c r="J16" s="482">
        <f>'ITR 1'!AK30</f>
        <v>100040</v>
      </c>
      <c r="K16" s="483"/>
      <c r="L16" s="483"/>
      <c r="M16" s="483"/>
      <c r="N16" s="483"/>
      <c r="O16" s="483"/>
      <c r="P16" s="483"/>
      <c r="Q16" s="483"/>
      <c r="R16" s="484"/>
    </row>
    <row r="17" spans="1:18" s="105" customFormat="1" ht="15.95" customHeight="1">
      <c r="A17" s="500"/>
      <c r="B17" s="103">
        <v>3</v>
      </c>
      <c r="C17" s="485" t="s">
        <v>251</v>
      </c>
      <c r="D17" s="485"/>
      <c r="E17" s="485"/>
      <c r="F17" s="485"/>
      <c r="G17" s="485"/>
      <c r="H17" s="485"/>
      <c r="I17" s="113">
        <v>3</v>
      </c>
      <c r="J17" s="482">
        <f>J15-J16</f>
        <v>266228</v>
      </c>
      <c r="K17" s="483"/>
      <c r="L17" s="483"/>
      <c r="M17" s="483"/>
      <c r="N17" s="483"/>
      <c r="O17" s="483"/>
      <c r="P17" s="483"/>
      <c r="Q17" s="483"/>
      <c r="R17" s="484"/>
    </row>
    <row r="18" spans="1:18" s="105" customFormat="1" ht="15.95" customHeight="1">
      <c r="A18" s="500"/>
      <c r="B18" s="103" t="s">
        <v>252</v>
      </c>
      <c r="C18" s="485" t="s">
        <v>253</v>
      </c>
      <c r="D18" s="485"/>
      <c r="E18" s="485"/>
      <c r="F18" s="485"/>
      <c r="G18" s="485"/>
      <c r="H18" s="485"/>
      <c r="I18" s="113" t="s">
        <v>252</v>
      </c>
      <c r="J18" s="482">
        <v>0</v>
      </c>
      <c r="K18" s="483"/>
      <c r="L18" s="483"/>
      <c r="M18" s="483"/>
      <c r="N18" s="483"/>
      <c r="O18" s="483"/>
      <c r="P18" s="483"/>
      <c r="Q18" s="483"/>
      <c r="R18" s="484"/>
    </row>
    <row r="19" spans="1:18" s="105" customFormat="1" ht="15.95" customHeight="1">
      <c r="A19" s="500"/>
      <c r="B19" s="103">
        <v>4</v>
      </c>
      <c r="C19" s="485" t="s">
        <v>254</v>
      </c>
      <c r="D19" s="485"/>
      <c r="E19" s="485"/>
      <c r="F19" s="485"/>
      <c r="G19" s="485"/>
      <c r="H19" s="485"/>
      <c r="I19" s="113">
        <v>4</v>
      </c>
      <c r="J19" s="482">
        <f>'ITR 1'!AK39</f>
        <v>4762</v>
      </c>
      <c r="K19" s="483"/>
      <c r="L19" s="483"/>
      <c r="M19" s="483"/>
      <c r="N19" s="483"/>
      <c r="O19" s="483"/>
      <c r="P19" s="483"/>
      <c r="Q19" s="483"/>
      <c r="R19" s="484"/>
    </row>
    <row r="20" spans="1:18" s="105" customFormat="1" ht="15.95" customHeight="1">
      <c r="A20" s="500"/>
      <c r="B20" s="103">
        <v>5</v>
      </c>
      <c r="C20" s="485" t="s">
        <v>255</v>
      </c>
      <c r="D20" s="485"/>
      <c r="E20" s="485"/>
      <c r="F20" s="485"/>
      <c r="G20" s="485"/>
      <c r="H20" s="485"/>
      <c r="I20" s="113">
        <v>5</v>
      </c>
      <c r="J20" s="482">
        <v>0</v>
      </c>
      <c r="K20" s="483"/>
      <c r="L20" s="483"/>
      <c r="M20" s="483"/>
      <c r="N20" s="483"/>
      <c r="O20" s="483"/>
      <c r="P20" s="483"/>
      <c r="Q20" s="483"/>
      <c r="R20" s="484"/>
    </row>
    <row r="21" spans="1:18" s="105" customFormat="1" ht="15.95" customHeight="1">
      <c r="A21" s="500"/>
      <c r="B21" s="103">
        <v>6</v>
      </c>
      <c r="C21" s="485" t="s">
        <v>256</v>
      </c>
      <c r="D21" s="485"/>
      <c r="E21" s="485"/>
      <c r="F21" s="485"/>
      <c r="G21" s="485"/>
      <c r="H21" s="485"/>
      <c r="I21" s="113">
        <v>6</v>
      </c>
      <c r="J21" s="482">
        <f>J19+J20</f>
        <v>4762</v>
      </c>
      <c r="K21" s="483"/>
      <c r="L21" s="483"/>
      <c r="M21" s="483"/>
      <c r="N21" s="483"/>
      <c r="O21" s="483"/>
      <c r="P21" s="483"/>
      <c r="Q21" s="483"/>
      <c r="R21" s="484"/>
    </row>
    <row r="22" spans="1:18" s="105" customFormat="1" ht="15.95" customHeight="1">
      <c r="A22" s="500"/>
      <c r="B22" s="103">
        <v>7</v>
      </c>
      <c r="C22" s="485" t="s">
        <v>257</v>
      </c>
      <c r="D22" s="485"/>
      <c r="E22" s="485"/>
      <c r="F22" s="485"/>
      <c r="G22" s="485"/>
      <c r="H22" s="485"/>
      <c r="I22" s="487"/>
      <c r="J22" s="487"/>
      <c r="K22" s="487"/>
      <c r="L22" s="487"/>
      <c r="M22" s="487"/>
      <c r="N22" s="487"/>
      <c r="O22" s="487"/>
      <c r="P22" s="487"/>
      <c r="Q22" s="487"/>
      <c r="R22" s="488"/>
    </row>
    <row r="23" spans="1:18" s="105" customFormat="1" ht="15.95" customHeight="1">
      <c r="A23" s="500"/>
      <c r="B23" s="502"/>
      <c r="C23" s="103" t="s">
        <v>258</v>
      </c>
      <c r="D23" s="485" t="s">
        <v>259</v>
      </c>
      <c r="E23" s="485"/>
      <c r="F23" s="103" t="s">
        <v>260</v>
      </c>
      <c r="G23" s="481">
        <f>Data!M27</f>
        <v>0</v>
      </c>
      <c r="H23" s="481"/>
      <c r="I23" s="487"/>
      <c r="J23" s="487"/>
      <c r="K23" s="487"/>
      <c r="L23" s="487"/>
      <c r="M23" s="487"/>
      <c r="N23" s="487"/>
      <c r="O23" s="487"/>
      <c r="P23" s="487"/>
      <c r="Q23" s="487"/>
      <c r="R23" s="488"/>
    </row>
    <row r="24" spans="1:18" s="105" customFormat="1" ht="15.95" customHeight="1">
      <c r="A24" s="500"/>
      <c r="B24" s="502"/>
      <c r="C24" s="103" t="s">
        <v>261</v>
      </c>
      <c r="D24" s="485" t="s">
        <v>262</v>
      </c>
      <c r="E24" s="485"/>
      <c r="F24" s="103" t="s">
        <v>263</v>
      </c>
      <c r="G24" s="481">
        <f>Data!M28</f>
        <v>0</v>
      </c>
      <c r="H24" s="481"/>
      <c r="I24" s="487"/>
      <c r="J24" s="487"/>
      <c r="K24" s="487"/>
      <c r="L24" s="487"/>
      <c r="M24" s="487"/>
      <c r="N24" s="487"/>
      <c r="O24" s="487"/>
      <c r="P24" s="487"/>
      <c r="Q24" s="487"/>
      <c r="R24" s="488"/>
    </row>
    <row r="25" spans="1:18" s="105" customFormat="1" ht="15.95" customHeight="1">
      <c r="A25" s="500"/>
      <c r="B25" s="502"/>
      <c r="C25" s="103" t="s">
        <v>264</v>
      </c>
      <c r="D25" s="485" t="s">
        <v>265</v>
      </c>
      <c r="E25" s="485"/>
      <c r="F25" s="103" t="s">
        <v>266</v>
      </c>
      <c r="G25" s="481">
        <f>Data!M29</f>
        <v>0</v>
      </c>
      <c r="H25" s="481"/>
      <c r="I25" s="487"/>
      <c r="J25" s="487"/>
      <c r="K25" s="487"/>
      <c r="L25" s="487"/>
      <c r="M25" s="487"/>
      <c r="N25" s="487"/>
      <c r="O25" s="487"/>
      <c r="P25" s="487"/>
      <c r="Q25" s="487"/>
      <c r="R25" s="488"/>
    </row>
    <row r="26" spans="1:18" s="105" customFormat="1" ht="15.95" customHeight="1">
      <c r="A26" s="500"/>
      <c r="B26" s="502"/>
      <c r="C26" s="103" t="s">
        <v>267</v>
      </c>
      <c r="D26" s="485" t="s">
        <v>268</v>
      </c>
      <c r="E26" s="485"/>
      <c r="F26" s="103" t="s">
        <v>269</v>
      </c>
      <c r="G26" s="481">
        <v>0</v>
      </c>
      <c r="H26" s="481"/>
      <c r="I26" s="487"/>
      <c r="J26" s="487"/>
      <c r="K26" s="487"/>
      <c r="L26" s="487"/>
      <c r="M26" s="487"/>
      <c r="N26" s="487"/>
      <c r="O26" s="487"/>
      <c r="P26" s="487"/>
      <c r="Q26" s="487"/>
      <c r="R26" s="488"/>
    </row>
    <row r="27" spans="1:18" s="105" customFormat="1" ht="15.95" customHeight="1">
      <c r="A27" s="500"/>
      <c r="B27" s="502"/>
      <c r="C27" s="103" t="s">
        <v>270</v>
      </c>
      <c r="D27" s="485" t="s">
        <v>271</v>
      </c>
      <c r="E27" s="485"/>
      <c r="F27" s="485"/>
      <c r="G27" s="485"/>
      <c r="H27" s="485"/>
      <c r="I27" s="103" t="s">
        <v>272</v>
      </c>
      <c r="J27" s="482">
        <f>G23+G24+G25+G26</f>
        <v>0</v>
      </c>
      <c r="K27" s="483"/>
      <c r="L27" s="483"/>
      <c r="M27" s="483"/>
      <c r="N27" s="483"/>
      <c r="O27" s="483"/>
      <c r="P27" s="483"/>
      <c r="Q27" s="483"/>
      <c r="R27" s="484"/>
    </row>
    <row r="28" spans="1:18" s="105" customFormat="1" ht="15.95" customHeight="1">
      <c r="A28" s="500"/>
      <c r="B28" s="103">
        <v>8</v>
      </c>
      <c r="C28" s="485" t="s">
        <v>273</v>
      </c>
      <c r="D28" s="485"/>
      <c r="E28" s="485"/>
      <c r="F28" s="485"/>
      <c r="G28" s="485"/>
      <c r="H28" s="485"/>
      <c r="I28" s="113">
        <v>8</v>
      </c>
      <c r="J28" s="482">
        <f>J21-J27</f>
        <v>4762</v>
      </c>
      <c r="K28" s="483"/>
      <c r="L28" s="483"/>
      <c r="M28" s="483"/>
      <c r="N28" s="483"/>
      <c r="O28" s="483"/>
      <c r="P28" s="483"/>
      <c r="Q28" s="483"/>
      <c r="R28" s="484"/>
    </row>
    <row r="29" spans="1:18" s="105" customFormat="1" ht="15.95" customHeight="1">
      <c r="A29" s="500"/>
      <c r="B29" s="103">
        <v>9</v>
      </c>
      <c r="C29" s="485" t="s">
        <v>293</v>
      </c>
      <c r="D29" s="485"/>
      <c r="E29" s="485"/>
      <c r="F29" s="485"/>
      <c r="G29" s="485"/>
      <c r="H29" s="485"/>
      <c r="I29" s="113">
        <v>9</v>
      </c>
      <c r="J29" s="482">
        <f>IF(J27&gt;J21,J27-J21,0)</f>
        <v>0</v>
      </c>
      <c r="K29" s="483"/>
      <c r="L29" s="483"/>
      <c r="M29" s="483"/>
      <c r="N29" s="483"/>
      <c r="O29" s="483"/>
      <c r="P29" s="483"/>
      <c r="Q29" s="483"/>
      <c r="R29" s="484"/>
    </row>
    <row r="30" spans="1:18" s="105" customFormat="1" ht="15.95" customHeight="1">
      <c r="A30" s="500" t="s">
        <v>291</v>
      </c>
      <c r="B30" s="103">
        <v>10</v>
      </c>
      <c r="C30" s="485" t="s">
        <v>274</v>
      </c>
      <c r="D30" s="485"/>
      <c r="E30" s="485"/>
      <c r="F30" s="485"/>
      <c r="G30" s="485"/>
      <c r="H30" s="485"/>
      <c r="I30" s="113">
        <v>10</v>
      </c>
      <c r="J30" s="482">
        <f>J24</f>
        <v>0</v>
      </c>
      <c r="K30" s="483"/>
      <c r="L30" s="483"/>
      <c r="M30" s="483"/>
      <c r="N30" s="483"/>
      <c r="O30" s="483"/>
      <c r="P30" s="483"/>
      <c r="Q30" s="483"/>
      <c r="R30" s="484"/>
    </row>
    <row r="31" spans="1:18" s="105" customFormat="1" ht="15.95" customHeight="1">
      <c r="A31" s="500"/>
      <c r="B31" s="103">
        <v>11</v>
      </c>
      <c r="C31" s="485" t="s">
        <v>275</v>
      </c>
      <c r="D31" s="485"/>
      <c r="E31" s="485"/>
      <c r="F31" s="485"/>
      <c r="G31" s="485"/>
      <c r="H31" s="485"/>
      <c r="I31" s="113">
        <v>11</v>
      </c>
      <c r="J31" s="482">
        <f>J25</f>
        <v>0</v>
      </c>
      <c r="K31" s="483"/>
      <c r="L31" s="483"/>
      <c r="M31" s="483"/>
      <c r="N31" s="483"/>
      <c r="O31" s="483"/>
      <c r="P31" s="483"/>
      <c r="Q31" s="483"/>
      <c r="R31" s="484"/>
    </row>
    <row r="32" spans="1:18" s="105" customFormat="1" ht="15.95" customHeight="1">
      <c r="A32" s="500"/>
      <c r="B32" s="103">
        <v>12</v>
      </c>
      <c r="C32" s="485" t="s">
        <v>276</v>
      </c>
      <c r="D32" s="485"/>
      <c r="E32" s="485"/>
      <c r="F32" s="485"/>
      <c r="G32" s="485"/>
      <c r="H32" s="485"/>
      <c r="I32" s="113">
        <v>12</v>
      </c>
      <c r="J32" s="482">
        <f>J26</f>
        <v>0</v>
      </c>
      <c r="K32" s="483"/>
      <c r="L32" s="483"/>
      <c r="M32" s="483"/>
      <c r="N32" s="483"/>
      <c r="O32" s="483"/>
      <c r="P32" s="483"/>
      <c r="Q32" s="483"/>
      <c r="R32" s="484"/>
    </row>
    <row r="33" spans="1:18" s="105" customFormat="1" ht="15.95" customHeight="1">
      <c r="A33" s="500"/>
      <c r="B33" s="103">
        <v>13</v>
      </c>
      <c r="C33" s="485" t="s">
        <v>256</v>
      </c>
      <c r="D33" s="485"/>
      <c r="E33" s="485"/>
      <c r="F33" s="485"/>
      <c r="G33" s="485"/>
      <c r="H33" s="485"/>
      <c r="I33" s="113">
        <v>13</v>
      </c>
      <c r="J33" s="482">
        <v>0</v>
      </c>
      <c r="K33" s="483"/>
      <c r="L33" s="483"/>
      <c r="M33" s="483"/>
      <c r="N33" s="483"/>
      <c r="O33" s="483"/>
      <c r="P33" s="483"/>
      <c r="Q33" s="483"/>
      <c r="R33" s="484"/>
    </row>
    <row r="34" spans="1:18" s="105" customFormat="1" ht="15.95" customHeight="1">
      <c r="A34" s="500"/>
      <c r="B34" s="103">
        <v>14</v>
      </c>
      <c r="C34" s="485" t="s">
        <v>257</v>
      </c>
      <c r="D34" s="485"/>
      <c r="E34" s="485"/>
      <c r="F34" s="485"/>
      <c r="G34" s="485"/>
      <c r="H34" s="485"/>
      <c r="I34" s="487"/>
      <c r="J34" s="487"/>
      <c r="K34" s="487"/>
      <c r="L34" s="487"/>
      <c r="M34" s="487"/>
      <c r="N34" s="487"/>
      <c r="O34" s="487"/>
      <c r="P34" s="487"/>
      <c r="Q34" s="487"/>
      <c r="R34" s="488"/>
    </row>
    <row r="35" spans="1:18" s="105" customFormat="1" ht="15.95" customHeight="1">
      <c r="A35" s="500"/>
      <c r="B35" s="502"/>
      <c r="C35" s="103" t="s">
        <v>258</v>
      </c>
      <c r="D35" s="485" t="s">
        <v>259</v>
      </c>
      <c r="E35" s="485"/>
      <c r="F35" s="103" t="s">
        <v>277</v>
      </c>
      <c r="G35" s="481">
        <v>0</v>
      </c>
      <c r="H35" s="481"/>
      <c r="I35" s="487"/>
      <c r="J35" s="487"/>
      <c r="K35" s="487"/>
      <c r="L35" s="487"/>
      <c r="M35" s="487"/>
      <c r="N35" s="487"/>
      <c r="O35" s="487"/>
      <c r="P35" s="487"/>
      <c r="Q35" s="487"/>
      <c r="R35" s="488"/>
    </row>
    <row r="36" spans="1:18" s="105" customFormat="1" ht="15.95" customHeight="1">
      <c r="A36" s="500"/>
      <c r="B36" s="502"/>
      <c r="C36" s="103" t="s">
        <v>261</v>
      </c>
      <c r="D36" s="485" t="s">
        <v>268</v>
      </c>
      <c r="E36" s="485"/>
      <c r="F36" s="103" t="s">
        <v>278</v>
      </c>
      <c r="G36" s="481">
        <v>0</v>
      </c>
      <c r="H36" s="481"/>
      <c r="I36" s="487"/>
      <c r="J36" s="487"/>
      <c r="K36" s="487"/>
      <c r="L36" s="487"/>
      <c r="M36" s="487"/>
      <c r="N36" s="487"/>
      <c r="O36" s="487"/>
      <c r="P36" s="487"/>
      <c r="Q36" s="487"/>
      <c r="R36" s="488"/>
    </row>
    <row r="37" spans="1:18" s="105" customFormat="1" ht="15.95" customHeight="1">
      <c r="A37" s="500"/>
      <c r="B37" s="502"/>
      <c r="C37" s="103" t="s">
        <v>264</v>
      </c>
      <c r="D37" s="485" t="s">
        <v>279</v>
      </c>
      <c r="E37" s="485"/>
      <c r="F37" s="485"/>
      <c r="G37" s="485"/>
      <c r="H37" s="485"/>
      <c r="I37" s="103" t="s">
        <v>280</v>
      </c>
      <c r="J37" s="482">
        <f>G35+G36</f>
        <v>0</v>
      </c>
      <c r="K37" s="483"/>
      <c r="L37" s="483"/>
      <c r="M37" s="483"/>
      <c r="N37" s="483"/>
      <c r="O37" s="483"/>
      <c r="P37" s="483"/>
      <c r="Q37" s="483"/>
      <c r="R37" s="484"/>
    </row>
    <row r="38" spans="1:18" s="105" customFormat="1" ht="15.95" customHeight="1">
      <c r="A38" s="500"/>
      <c r="B38" s="103">
        <v>15</v>
      </c>
      <c r="C38" s="485" t="s">
        <v>433</v>
      </c>
      <c r="D38" s="485"/>
      <c r="E38" s="485"/>
      <c r="F38" s="485"/>
      <c r="G38" s="485"/>
      <c r="H38" s="485"/>
      <c r="I38" s="113">
        <v>15</v>
      </c>
      <c r="J38" s="482">
        <f>J33-J37</f>
        <v>0</v>
      </c>
      <c r="K38" s="483"/>
      <c r="L38" s="483"/>
      <c r="M38" s="483"/>
      <c r="N38" s="483"/>
      <c r="O38" s="483"/>
      <c r="P38" s="483"/>
      <c r="Q38" s="483"/>
      <c r="R38" s="484"/>
    </row>
    <row r="39" spans="1:18" s="105" customFormat="1" ht="15.95" customHeight="1">
      <c r="A39" s="501"/>
      <c r="B39" s="114">
        <v>16</v>
      </c>
      <c r="C39" s="486" t="s">
        <v>281</v>
      </c>
      <c r="D39" s="486"/>
      <c r="E39" s="486"/>
      <c r="F39" s="485"/>
      <c r="G39" s="485"/>
      <c r="H39" s="485"/>
      <c r="I39" s="113">
        <v>16</v>
      </c>
      <c r="J39" s="482">
        <f>IF(J38&gt;J37,J38-J37,0)</f>
        <v>0</v>
      </c>
      <c r="K39" s="483"/>
      <c r="L39" s="483"/>
      <c r="M39" s="483"/>
      <c r="N39" s="483"/>
      <c r="O39" s="483"/>
      <c r="P39" s="483"/>
      <c r="Q39" s="483"/>
      <c r="R39" s="484"/>
    </row>
    <row r="40" spans="1:18" s="105" customFormat="1" ht="15.95" customHeight="1">
      <c r="A40" s="497" t="s">
        <v>282</v>
      </c>
      <c r="B40" s="498"/>
      <c r="C40" s="498"/>
      <c r="D40" s="498"/>
      <c r="E40" s="499"/>
      <c r="F40" s="489" t="s">
        <v>283</v>
      </c>
      <c r="G40" s="490"/>
      <c r="H40" s="490"/>
      <c r="I40" s="490"/>
      <c r="J40" s="490"/>
      <c r="K40" s="490"/>
      <c r="L40" s="490"/>
      <c r="M40" s="490"/>
      <c r="N40" s="490"/>
      <c r="O40" s="490"/>
      <c r="P40" s="490"/>
      <c r="Q40" s="490"/>
      <c r="R40" s="491"/>
    </row>
    <row r="41" spans="1:18" s="115" customFormat="1" ht="69.75" customHeight="1" thickBot="1">
      <c r="A41" s="495" t="s">
        <v>40</v>
      </c>
      <c r="B41" s="496"/>
      <c r="C41" s="496"/>
      <c r="D41" s="496"/>
      <c r="E41" s="496"/>
      <c r="F41" s="492"/>
      <c r="G41" s="493"/>
      <c r="H41" s="493"/>
      <c r="I41" s="493"/>
      <c r="J41" s="493"/>
      <c r="K41" s="493"/>
      <c r="L41" s="493"/>
      <c r="M41" s="493"/>
      <c r="N41" s="493"/>
      <c r="O41" s="493"/>
      <c r="P41" s="493"/>
      <c r="Q41" s="493"/>
      <c r="R41" s="494"/>
    </row>
  </sheetData>
  <sheetProtection sheet="1" objects="1" scenarios="1" formatCells="0" selectLockedCells="1"/>
  <mergeCells count="81">
    <mergeCell ref="J29:R29"/>
    <mergeCell ref="J30:R30"/>
    <mergeCell ref="J31:R31"/>
    <mergeCell ref="J32:R32"/>
    <mergeCell ref="G9:R9"/>
    <mergeCell ref="C28:H28"/>
    <mergeCell ref="C29:H29"/>
    <mergeCell ref="G11:I11"/>
    <mergeCell ref="B13:G13"/>
    <mergeCell ref="D24:E24"/>
    <mergeCell ref="C20:H20"/>
    <mergeCell ref="D25:E25"/>
    <mergeCell ref="G24:H24"/>
    <mergeCell ref="C16:H16"/>
    <mergeCell ref="C17:H17"/>
    <mergeCell ref="J15:R15"/>
    <mergeCell ref="B6:H6"/>
    <mergeCell ref="A5:A14"/>
    <mergeCell ref="B7:F7"/>
    <mergeCell ref="G8:R8"/>
    <mergeCell ref="B10:F10"/>
    <mergeCell ref="I5:R5"/>
    <mergeCell ref="G7:R7"/>
    <mergeCell ref="B8:F8"/>
    <mergeCell ref="B9:F9"/>
    <mergeCell ref="G10:R10"/>
    <mergeCell ref="B14:G14"/>
    <mergeCell ref="B12:F12"/>
    <mergeCell ref="G12:I12"/>
    <mergeCell ref="H14:R14"/>
    <mergeCell ref="H13:R13"/>
    <mergeCell ref="B11:F11"/>
    <mergeCell ref="A1:R1"/>
    <mergeCell ref="A2:R2"/>
    <mergeCell ref="A3:R3"/>
    <mergeCell ref="A4:R4"/>
    <mergeCell ref="B5:H5"/>
    <mergeCell ref="J19:R19"/>
    <mergeCell ref="J20:R20"/>
    <mergeCell ref="D26:E26"/>
    <mergeCell ref="J16:R16"/>
    <mergeCell ref="C18:H18"/>
    <mergeCell ref="C19:H19"/>
    <mergeCell ref="J17:R17"/>
    <mergeCell ref="J18:R18"/>
    <mergeCell ref="J28:R28"/>
    <mergeCell ref="J21:R21"/>
    <mergeCell ref="G25:H25"/>
    <mergeCell ref="G23:H23"/>
    <mergeCell ref="J27:R27"/>
    <mergeCell ref="C21:H21"/>
    <mergeCell ref="G26:H26"/>
    <mergeCell ref="D27:H27"/>
    <mergeCell ref="I22:R26"/>
    <mergeCell ref="A15:A29"/>
    <mergeCell ref="C34:H34"/>
    <mergeCell ref="C22:H22"/>
    <mergeCell ref="B23:B27"/>
    <mergeCell ref="D23:E23"/>
    <mergeCell ref="C15:H15"/>
    <mergeCell ref="F40:R41"/>
    <mergeCell ref="A41:E41"/>
    <mergeCell ref="A40:E40"/>
    <mergeCell ref="J39:R39"/>
    <mergeCell ref="J33:R33"/>
    <mergeCell ref="J37:R37"/>
    <mergeCell ref="A30:A39"/>
    <mergeCell ref="C30:H30"/>
    <mergeCell ref="G36:H36"/>
    <mergeCell ref="C31:H31"/>
    <mergeCell ref="C32:H32"/>
    <mergeCell ref="D36:E36"/>
    <mergeCell ref="B35:B37"/>
    <mergeCell ref="C33:H33"/>
    <mergeCell ref="D35:E35"/>
    <mergeCell ref="D37:H37"/>
    <mergeCell ref="G35:H35"/>
    <mergeCell ref="J38:R38"/>
    <mergeCell ref="C38:H38"/>
    <mergeCell ref="C39:H39"/>
    <mergeCell ref="I34:R36"/>
  </mergeCells>
  <phoneticPr fontId="0" type="noConversion"/>
  <printOptions horizontalCentered="1" verticalCentered="1"/>
  <pageMargins left="0.5" right="0.5" top="0.5" bottom="1.1100000000000001" header="0" footer="0"/>
  <pageSetup paperSize="9" scale="85" orientation="portrait" horizontalDpi="180" verticalDpi="180" r:id="rId1"/>
  <headerFooter alignWithMargins="0"/>
  <ignoredErrors>
    <ignoredError sqref="J28" formula="1"/>
  </ignoredErrors>
  <drawing r:id="rId2"/>
</worksheet>
</file>

<file path=xl/worksheets/sheet9.xml><?xml version="1.0" encoding="utf-8"?>
<worksheet xmlns="http://schemas.openxmlformats.org/spreadsheetml/2006/main" xmlns:r="http://schemas.openxmlformats.org/officeDocument/2006/relationships">
  <dimension ref="A1:AX107"/>
  <sheetViews>
    <sheetView showGridLines="0" workbookViewId="0">
      <selection activeCell="AD1" sqref="AD1:AQ1"/>
    </sheetView>
  </sheetViews>
  <sheetFormatPr defaultColWidth="0" defaultRowHeight="12.75" zeroHeight="1"/>
  <cols>
    <col min="1" max="2" width="2.7109375" style="269" customWidth="1"/>
    <col min="3" max="43" width="2.28515625" style="269" customWidth="1"/>
    <col min="44" max="44" width="0.140625" style="269" customWidth="1"/>
    <col min="45" max="47" width="2.140625" style="269" hidden="1" customWidth="1"/>
    <col min="48" max="48" width="2.42578125" style="269" hidden="1" customWidth="1"/>
    <col min="49" max="49" width="3.7109375" style="269" hidden="1" customWidth="1"/>
    <col min="50" max="50" width="3.28515625" style="269" hidden="1" customWidth="1"/>
    <col min="51" max="16384" width="0" style="269" hidden="1"/>
  </cols>
  <sheetData>
    <row r="1" spans="1:43" ht="32.25" customHeight="1">
      <c r="A1" s="626" t="s">
        <v>374</v>
      </c>
      <c r="B1" s="627"/>
      <c r="C1" s="677" t="s">
        <v>375</v>
      </c>
      <c r="D1" s="678"/>
      <c r="E1" s="678"/>
      <c r="F1" s="678"/>
      <c r="G1" s="636" t="s">
        <v>427</v>
      </c>
      <c r="H1" s="637"/>
      <c r="I1" s="637"/>
      <c r="J1" s="637"/>
      <c r="K1" s="637"/>
      <c r="L1" s="637"/>
      <c r="M1" s="637"/>
      <c r="N1" s="637"/>
      <c r="O1" s="637"/>
      <c r="P1" s="637"/>
      <c r="Q1" s="637"/>
      <c r="R1" s="637"/>
      <c r="S1" s="637"/>
      <c r="T1" s="637"/>
      <c r="U1" s="637"/>
      <c r="V1" s="637"/>
      <c r="W1" s="637"/>
      <c r="X1" s="637"/>
      <c r="Y1" s="637"/>
      <c r="Z1" s="637"/>
      <c r="AA1" s="637"/>
      <c r="AB1" s="637"/>
      <c r="AC1" s="638"/>
      <c r="AD1" s="681" t="s">
        <v>371</v>
      </c>
      <c r="AE1" s="682"/>
      <c r="AF1" s="682"/>
      <c r="AG1" s="682"/>
      <c r="AH1" s="682"/>
      <c r="AI1" s="682"/>
      <c r="AJ1" s="682"/>
      <c r="AK1" s="682"/>
      <c r="AL1" s="682"/>
      <c r="AM1" s="682"/>
      <c r="AN1" s="682"/>
      <c r="AO1" s="682"/>
      <c r="AP1" s="682"/>
      <c r="AQ1" s="683"/>
    </row>
    <row r="2" spans="1:43" ht="44.25" customHeight="1" thickBot="1">
      <c r="A2" s="628"/>
      <c r="B2" s="629"/>
      <c r="C2" s="679"/>
      <c r="D2" s="680"/>
      <c r="E2" s="680"/>
      <c r="F2" s="680"/>
      <c r="G2" s="639"/>
      <c r="H2" s="640"/>
      <c r="I2" s="640"/>
      <c r="J2" s="640"/>
      <c r="K2" s="640"/>
      <c r="L2" s="640"/>
      <c r="M2" s="640"/>
      <c r="N2" s="640"/>
      <c r="O2" s="640"/>
      <c r="P2" s="640"/>
      <c r="Q2" s="640"/>
      <c r="R2" s="640"/>
      <c r="S2" s="640"/>
      <c r="T2" s="640"/>
      <c r="U2" s="640"/>
      <c r="V2" s="640"/>
      <c r="W2" s="640"/>
      <c r="X2" s="640"/>
      <c r="Y2" s="640"/>
      <c r="Z2" s="640"/>
      <c r="AA2" s="640"/>
      <c r="AB2" s="640"/>
      <c r="AC2" s="641"/>
      <c r="AD2" s="675" t="str">
        <f>MID(Data!Y4,1,1)</f>
        <v>2</v>
      </c>
      <c r="AE2" s="676"/>
      <c r="AF2" s="673" t="str">
        <f>MID(Data!Y4,2,1)</f>
        <v>0</v>
      </c>
      <c r="AG2" s="673"/>
      <c r="AH2" s="673" t="str">
        <f>MID(Data!Y4,3,1)</f>
        <v>1</v>
      </c>
      <c r="AI2" s="673"/>
      <c r="AJ2" s="673" t="str">
        <f>MID(Data!Y4,4,1)</f>
        <v>4</v>
      </c>
      <c r="AK2" s="673"/>
      <c r="AL2" s="673" t="str">
        <f>MID(Data!Y4,5,1)</f>
        <v>-</v>
      </c>
      <c r="AM2" s="673"/>
      <c r="AN2" s="673" t="str">
        <f>MID(Data!Y4,6,1)</f>
        <v>1</v>
      </c>
      <c r="AO2" s="673"/>
      <c r="AP2" s="673" t="str">
        <f>MID(Data!Y4,7,1)</f>
        <v>5</v>
      </c>
      <c r="AQ2" s="674"/>
    </row>
    <row r="3" spans="1:43" ht="6" customHeight="1" thickBot="1">
      <c r="A3" s="270"/>
      <c r="B3" s="270"/>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62"/>
      <c r="AC3" s="262"/>
      <c r="AD3" s="262"/>
      <c r="AE3" s="262"/>
      <c r="AF3" s="262"/>
      <c r="AG3" s="262"/>
      <c r="AH3" s="262"/>
      <c r="AI3" s="262"/>
      <c r="AJ3" s="262"/>
      <c r="AK3" s="262"/>
      <c r="AL3" s="262"/>
      <c r="AM3" s="262"/>
      <c r="AN3" s="262"/>
      <c r="AO3" s="262"/>
      <c r="AP3" s="262"/>
      <c r="AQ3" s="262"/>
    </row>
    <row r="4" spans="1:43" ht="15.95" customHeight="1">
      <c r="A4" s="630" t="s">
        <v>296</v>
      </c>
      <c r="B4" s="631"/>
      <c r="C4" s="632" t="s">
        <v>297</v>
      </c>
      <c r="D4" s="632"/>
      <c r="E4" s="632"/>
      <c r="F4" s="632"/>
      <c r="G4" s="632"/>
      <c r="H4" s="632"/>
      <c r="I4" s="632"/>
      <c r="J4" s="632"/>
      <c r="K4" s="633"/>
      <c r="L4" s="672" t="s">
        <v>298</v>
      </c>
      <c r="M4" s="632"/>
      <c r="N4" s="632"/>
      <c r="O4" s="632"/>
      <c r="P4" s="632"/>
      <c r="Q4" s="632"/>
      <c r="R4" s="632"/>
      <c r="S4" s="632"/>
      <c r="T4" s="632"/>
      <c r="U4" s="632"/>
      <c r="V4" s="633"/>
      <c r="W4" s="672" t="s">
        <v>299</v>
      </c>
      <c r="X4" s="632"/>
      <c r="Y4" s="632"/>
      <c r="Z4" s="632"/>
      <c r="AA4" s="632"/>
      <c r="AB4" s="632"/>
      <c r="AC4" s="632"/>
      <c r="AD4" s="632"/>
      <c r="AE4" s="632"/>
      <c r="AF4" s="632"/>
      <c r="AG4" s="633"/>
      <c r="AH4" s="672" t="s">
        <v>245</v>
      </c>
      <c r="AI4" s="632"/>
      <c r="AJ4" s="632"/>
      <c r="AK4" s="632"/>
      <c r="AL4" s="632"/>
      <c r="AM4" s="632"/>
      <c r="AN4" s="632"/>
      <c r="AO4" s="632"/>
      <c r="AP4" s="632"/>
      <c r="AQ4" s="684"/>
    </row>
    <row r="5" spans="1:43" ht="15.95" customHeight="1">
      <c r="A5" s="623"/>
      <c r="B5" s="624"/>
      <c r="C5" s="634" t="str">
        <f>UPPER(Data!Y9)</f>
        <v>SRINIVAS</v>
      </c>
      <c r="D5" s="634"/>
      <c r="E5" s="634"/>
      <c r="F5" s="634"/>
      <c r="G5" s="634"/>
      <c r="H5" s="634"/>
      <c r="I5" s="634"/>
      <c r="J5" s="634"/>
      <c r="K5" s="635"/>
      <c r="L5" s="664" t="str">
        <f>UPPER(Data!Y10)</f>
        <v/>
      </c>
      <c r="M5" s="634"/>
      <c r="N5" s="634"/>
      <c r="O5" s="634"/>
      <c r="P5" s="634"/>
      <c r="Q5" s="634"/>
      <c r="R5" s="634"/>
      <c r="S5" s="634"/>
      <c r="T5" s="644"/>
      <c r="U5" s="644"/>
      <c r="V5" s="645"/>
      <c r="W5" s="643" t="str">
        <f>UPPER(Data!Y8)</f>
        <v xml:space="preserve">NAINALA </v>
      </c>
      <c r="X5" s="644"/>
      <c r="Y5" s="644"/>
      <c r="Z5" s="644"/>
      <c r="AA5" s="644"/>
      <c r="AB5" s="644"/>
      <c r="AC5" s="644"/>
      <c r="AD5" s="644"/>
      <c r="AE5" s="644"/>
      <c r="AF5" s="644"/>
      <c r="AG5" s="645"/>
      <c r="AH5" s="156" t="str">
        <f>LEFT(Data!D5,1)</f>
        <v>A</v>
      </c>
      <c r="AI5" s="156" t="str">
        <f>MID(Data!$D$5,2,1)</f>
        <v>C</v>
      </c>
      <c r="AJ5" s="156" t="str">
        <f>MID(Data!$D$5,3,1)</f>
        <v>P</v>
      </c>
      <c r="AK5" s="156" t="str">
        <f>MID(Data!$D$5,4,1)</f>
        <v>P</v>
      </c>
      <c r="AL5" s="156" t="str">
        <f>MID(Data!$D$5,5,1)</f>
        <v>N</v>
      </c>
      <c r="AM5" s="156" t="str">
        <f>MID(Data!$D$5,6,1)</f>
        <v>5</v>
      </c>
      <c r="AN5" s="156" t="str">
        <f>MID(Data!$D$5,7,1)</f>
        <v>0</v>
      </c>
      <c r="AO5" s="156" t="str">
        <f>MID(Data!$D$5,8,1)</f>
        <v>1</v>
      </c>
      <c r="AP5" s="156" t="str">
        <f>MID(Data!$D$5,9,1)</f>
        <v>6</v>
      </c>
      <c r="AQ5" s="272" t="str">
        <f>MID(Data!$D$5,10,1)</f>
        <v>Q</v>
      </c>
    </row>
    <row r="6" spans="1:43" ht="15.95" customHeight="1">
      <c r="A6" s="623"/>
      <c r="B6" s="624"/>
      <c r="C6" s="654" t="s">
        <v>246</v>
      </c>
      <c r="D6" s="654"/>
      <c r="E6" s="654"/>
      <c r="F6" s="654"/>
      <c r="G6" s="654"/>
      <c r="H6" s="654"/>
      <c r="I6" s="654"/>
      <c r="J6" s="654"/>
      <c r="K6" s="654"/>
      <c r="L6" s="654"/>
      <c r="M6" s="654"/>
      <c r="N6" s="654"/>
      <c r="O6" s="654"/>
      <c r="P6" s="654"/>
      <c r="Q6" s="654"/>
      <c r="R6" s="654"/>
      <c r="S6" s="654"/>
      <c r="T6" s="653" t="s">
        <v>287</v>
      </c>
      <c r="U6" s="654"/>
      <c r="V6" s="654"/>
      <c r="W6" s="654"/>
      <c r="X6" s="654"/>
      <c r="Y6" s="654"/>
      <c r="Z6" s="654"/>
      <c r="AA6" s="654"/>
      <c r="AB6" s="654"/>
      <c r="AC6" s="654"/>
      <c r="AD6" s="654"/>
      <c r="AE6" s="654"/>
      <c r="AF6" s="654"/>
      <c r="AG6" s="660"/>
      <c r="AH6" s="653" t="s">
        <v>366</v>
      </c>
      <c r="AI6" s="654"/>
      <c r="AJ6" s="654"/>
      <c r="AK6" s="654"/>
      <c r="AL6" s="654"/>
      <c r="AM6" s="654"/>
      <c r="AN6" s="654"/>
      <c r="AO6" s="654"/>
      <c r="AP6" s="654"/>
      <c r="AQ6" s="665"/>
    </row>
    <row r="7" spans="1:43" ht="15.95" customHeight="1">
      <c r="A7" s="623"/>
      <c r="B7" s="624"/>
      <c r="C7" s="634" t="str">
        <f>Data!D8</f>
        <v>H.No.3-4-34/5</v>
      </c>
      <c r="D7" s="634"/>
      <c r="E7" s="634"/>
      <c r="F7" s="634"/>
      <c r="G7" s="634"/>
      <c r="H7" s="634"/>
      <c r="I7" s="634"/>
      <c r="J7" s="634"/>
      <c r="K7" s="634"/>
      <c r="L7" s="634"/>
      <c r="M7" s="634"/>
      <c r="N7" s="634"/>
      <c r="O7" s="634"/>
      <c r="P7" s="634"/>
      <c r="Q7" s="634"/>
      <c r="R7" s="634"/>
      <c r="S7" s="634"/>
      <c r="T7" s="664" t="str">
        <f>UPPER(Data!D10)</f>
        <v>AMALAPURAM</v>
      </c>
      <c r="U7" s="634"/>
      <c r="V7" s="634"/>
      <c r="W7" s="634"/>
      <c r="X7" s="634"/>
      <c r="Y7" s="634"/>
      <c r="Z7" s="634"/>
      <c r="AA7" s="634"/>
      <c r="AB7" s="634"/>
      <c r="AC7" s="634"/>
      <c r="AD7" s="634"/>
      <c r="AE7" s="634"/>
      <c r="AF7" s="634"/>
      <c r="AG7" s="635"/>
      <c r="AH7" s="650" t="str">
        <f>TEXT(DATE(Data!I5,Data!H5,Data!G5),"DD/MM/YYYY")</f>
        <v>03/03/1972</v>
      </c>
      <c r="AI7" s="668"/>
      <c r="AJ7" s="668"/>
      <c r="AK7" s="668"/>
      <c r="AL7" s="668"/>
      <c r="AM7" s="668"/>
      <c r="AN7" s="668"/>
      <c r="AO7" s="668"/>
      <c r="AP7" s="668"/>
      <c r="AQ7" s="670"/>
    </row>
    <row r="8" spans="1:43" ht="15.95" customHeight="1">
      <c r="A8" s="623"/>
      <c r="B8" s="624"/>
      <c r="C8" s="654" t="s">
        <v>285</v>
      </c>
      <c r="D8" s="654"/>
      <c r="E8" s="654"/>
      <c r="F8" s="654"/>
      <c r="G8" s="654"/>
      <c r="H8" s="654"/>
      <c r="I8" s="654"/>
      <c r="J8" s="654"/>
      <c r="K8" s="654"/>
      <c r="L8" s="654"/>
      <c r="M8" s="654"/>
      <c r="N8" s="654"/>
      <c r="O8" s="654"/>
      <c r="P8" s="654"/>
      <c r="Q8" s="654"/>
      <c r="R8" s="654"/>
      <c r="S8" s="660"/>
      <c r="T8" s="642" t="s">
        <v>247</v>
      </c>
      <c r="U8" s="642"/>
      <c r="V8" s="642"/>
      <c r="W8" s="642"/>
      <c r="X8" s="642"/>
      <c r="Y8" s="642"/>
      <c r="Z8" s="642"/>
      <c r="AA8" s="642"/>
      <c r="AB8" s="642"/>
      <c r="AC8" s="642"/>
      <c r="AD8" s="642"/>
      <c r="AE8" s="642"/>
      <c r="AF8" s="642"/>
      <c r="AG8" s="642"/>
      <c r="AH8" s="653" t="s">
        <v>367</v>
      </c>
      <c r="AI8" s="654"/>
      <c r="AJ8" s="654"/>
      <c r="AK8" s="654"/>
      <c r="AL8" s="654"/>
      <c r="AM8" s="654"/>
      <c r="AN8" s="654"/>
      <c r="AO8" s="654"/>
      <c r="AP8" s="654"/>
      <c r="AQ8" s="665"/>
    </row>
    <row r="9" spans="1:43" ht="15.95" customHeight="1">
      <c r="A9" s="623"/>
      <c r="B9" s="624"/>
      <c r="C9" s="634" t="str">
        <f>UPPER(Data!D10)</f>
        <v>AMALAPURAM</v>
      </c>
      <c r="D9" s="634"/>
      <c r="E9" s="634"/>
      <c r="F9" s="634"/>
      <c r="G9" s="634"/>
      <c r="H9" s="634"/>
      <c r="I9" s="634"/>
      <c r="J9" s="634"/>
      <c r="K9" s="634"/>
      <c r="L9" s="634"/>
      <c r="M9" s="634"/>
      <c r="N9" s="634"/>
      <c r="O9" s="634"/>
      <c r="P9" s="634"/>
      <c r="Q9" s="634"/>
      <c r="R9" s="634"/>
      <c r="S9" s="635"/>
      <c r="T9" s="644" t="str">
        <f>UPPER(Data!D10)</f>
        <v>AMALAPURAM</v>
      </c>
      <c r="U9" s="644"/>
      <c r="V9" s="644"/>
      <c r="W9" s="644"/>
      <c r="X9" s="644"/>
      <c r="Y9" s="644"/>
      <c r="Z9" s="644"/>
      <c r="AA9" s="644"/>
      <c r="AB9" s="644"/>
      <c r="AC9" s="644"/>
      <c r="AD9" s="644"/>
      <c r="AE9" s="644"/>
      <c r="AF9" s="644"/>
      <c r="AG9" s="644"/>
      <c r="AH9" s="273" t="str">
        <f>IF(Data!$W$27=AI9,"þ","o")</f>
        <v>þ</v>
      </c>
      <c r="AI9" s="668" t="s">
        <v>527</v>
      </c>
      <c r="AJ9" s="668"/>
      <c r="AK9" s="274" t="str">
        <f>IF(Data!$W$27=AL9,"þ","o")</f>
        <v>o</v>
      </c>
      <c r="AL9" s="668" t="s">
        <v>528</v>
      </c>
      <c r="AM9" s="668"/>
      <c r="AN9" s="274" t="str">
        <f>IF(Data!$W$27=AO9,"þ","o")</f>
        <v>o</v>
      </c>
      <c r="AO9" s="668" t="s">
        <v>467</v>
      </c>
      <c r="AP9" s="668"/>
      <c r="AQ9" s="670"/>
    </row>
    <row r="10" spans="1:43" ht="15.95" customHeight="1">
      <c r="A10" s="623"/>
      <c r="B10" s="624"/>
      <c r="C10" s="654" t="s">
        <v>300</v>
      </c>
      <c r="D10" s="654"/>
      <c r="E10" s="654"/>
      <c r="F10" s="654"/>
      <c r="G10" s="654"/>
      <c r="H10" s="654"/>
      <c r="I10" s="654"/>
      <c r="J10" s="654"/>
      <c r="K10" s="654"/>
      <c r="L10" s="654"/>
      <c r="M10" s="654"/>
      <c r="N10" s="654"/>
      <c r="O10" s="654"/>
      <c r="P10" s="654"/>
      <c r="Q10" s="654"/>
      <c r="R10" s="654"/>
      <c r="S10" s="660"/>
      <c r="T10" s="653" t="s">
        <v>288</v>
      </c>
      <c r="U10" s="654"/>
      <c r="V10" s="654"/>
      <c r="W10" s="654"/>
      <c r="X10" s="654"/>
      <c r="Y10" s="654"/>
      <c r="Z10" s="654"/>
      <c r="AA10" s="654"/>
      <c r="AB10" s="654"/>
      <c r="AC10" s="654"/>
      <c r="AD10" s="654"/>
      <c r="AE10" s="654"/>
      <c r="AF10" s="654"/>
      <c r="AG10" s="660"/>
      <c r="AH10" s="653" t="s">
        <v>368</v>
      </c>
      <c r="AI10" s="654"/>
      <c r="AJ10" s="654"/>
      <c r="AK10" s="654"/>
      <c r="AL10" s="654"/>
      <c r="AM10" s="654"/>
      <c r="AN10" s="642"/>
      <c r="AO10" s="654"/>
      <c r="AP10" s="654"/>
      <c r="AQ10" s="665"/>
    </row>
    <row r="11" spans="1:43" ht="15.95" customHeight="1">
      <c r="A11" s="623"/>
      <c r="B11" s="624"/>
      <c r="C11" s="634" t="s">
        <v>434</v>
      </c>
      <c r="D11" s="634"/>
      <c r="E11" s="634"/>
      <c r="F11" s="634"/>
      <c r="G11" s="634"/>
      <c r="H11" s="634"/>
      <c r="I11" s="634"/>
      <c r="J11" s="634"/>
      <c r="K11" s="634"/>
      <c r="L11" s="634"/>
      <c r="M11" s="634"/>
      <c r="N11" s="634"/>
      <c r="O11" s="634"/>
      <c r="P11" s="634"/>
      <c r="Q11" s="634"/>
      <c r="R11" s="634"/>
      <c r="S11" s="635"/>
      <c r="T11" s="664" t="s">
        <v>294</v>
      </c>
      <c r="U11" s="634"/>
      <c r="V11" s="634"/>
      <c r="W11" s="634"/>
      <c r="X11" s="634"/>
      <c r="Y11" s="634"/>
      <c r="Z11" s="634"/>
      <c r="AA11" s="634"/>
      <c r="AB11" s="634"/>
      <c r="AC11" s="634"/>
      <c r="AD11" s="634"/>
      <c r="AE11" s="634"/>
      <c r="AF11" s="634"/>
      <c r="AG11" s="635"/>
      <c r="AH11" s="671" t="str">
        <f>IF(Data!H4=AJ11,"þ","o")</f>
        <v>þ</v>
      </c>
      <c r="AI11" s="669"/>
      <c r="AJ11" s="656" t="s">
        <v>103</v>
      </c>
      <c r="AK11" s="656"/>
      <c r="AL11" s="656"/>
      <c r="AM11" s="669" t="str">
        <f>IF(Data!H4=AO11,"þ","o")</f>
        <v>o</v>
      </c>
      <c r="AN11" s="669"/>
      <c r="AO11" s="656" t="s">
        <v>104</v>
      </c>
      <c r="AP11" s="656"/>
      <c r="AQ11" s="666"/>
    </row>
    <row r="12" spans="1:43" ht="15.95" customHeight="1">
      <c r="A12" s="623"/>
      <c r="B12" s="624"/>
      <c r="C12" s="642" t="s">
        <v>301</v>
      </c>
      <c r="D12" s="642"/>
      <c r="E12" s="642"/>
      <c r="F12" s="642"/>
      <c r="G12" s="642"/>
      <c r="H12" s="642"/>
      <c r="I12" s="642"/>
      <c r="J12" s="642"/>
      <c r="K12" s="642"/>
      <c r="L12" s="642"/>
      <c r="M12" s="642"/>
      <c r="N12" s="642"/>
      <c r="O12" s="642"/>
      <c r="P12" s="642"/>
      <c r="Q12" s="642"/>
      <c r="R12" s="642"/>
      <c r="S12" s="642"/>
      <c r="T12" s="659" t="s">
        <v>539</v>
      </c>
      <c r="U12" s="657"/>
      <c r="V12" s="657"/>
      <c r="W12" s="657"/>
      <c r="X12" s="657"/>
      <c r="Y12" s="657"/>
      <c r="Z12" s="657"/>
      <c r="AA12" s="657"/>
      <c r="AB12" s="657"/>
      <c r="AC12" s="657"/>
      <c r="AD12" s="667"/>
      <c r="AE12" s="667"/>
      <c r="AF12" s="667"/>
      <c r="AG12" s="667"/>
      <c r="AH12" s="275" t="s">
        <v>540</v>
      </c>
      <c r="AI12" s="275"/>
      <c r="AJ12" s="275"/>
      <c r="AK12" s="275"/>
      <c r="AL12" s="275"/>
      <c r="AM12" s="275"/>
      <c r="AN12" s="275"/>
      <c r="AO12" s="275"/>
      <c r="AP12" s="275"/>
      <c r="AQ12" s="276"/>
    </row>
    <row r="13" spans="1:43" ht="15.95" customHeight="1">
      <c r="A13" s="623" t="s">
        <v>302</v>
      </c>
      <c r="B13" s="624"/>
      <c r="C13" s="653" t="s">
        <v>369</v>
      </c>
      <c r="D13" s="654"/>
      <c r="E13" s="654"/>
      <c r="F13" s="654"/>
      <c r="G13" s="654"/>
      <c r="H13" s="654"/>
      <c r="I13" s="654"/>
      <c r="J13" s="654"/>
      <c r="K13" s="654"/>
      <c r="L13" s="654"/>
      <c r="M13" s="654"/>
      <c r="N13" s="654"/>
      <c r="O13" s="654"/>
      <c r="P13" s="654"/>
      <c r="Q13" s="654"/>
      <c r="R13" s="654"/>
      <c r="S13" s="654"/>
      <c r="T13" s="654"/>
      <c r="U13" s="654"/>
      <c r="V13" s="654"/>
      <c r="W13" s="660"/>
      <c r="X13" s="653" t="s">
        <v>373</v>
      </c>
      <c r="Y13" s="654"/>
      <c r="Z13" s="654"/>
      <c r="AA13" s="654"/>
      <c r="AB13" s="654"/>
      <c r="AC13" s="654"/>
      <c r="AD13" s="654"/>
      <c r="AE13" s="654"/>
      <c r="AF13" s="654"/>
      <c r="AG13" s="654"/>
      <c r="AH13" s="654"/>
      <c r="AI13" s="654"/>
      <c r="AJ13" s="654"/>
      <c r="AK13" s="654"/>
      <c r="AL13" s="277"/>
      <c r="AM13" s="277"/>
      <c r="AN13" s="277"/>
      <c r="AO13" s="277"/>
      <c r="AP13" s="277"/>
      <c r="AQ13" s="278"/>
    </row>
    <row r="14" spans="1:43" ht="15.95" customHeight="1">
      <c r="A14" s="623"/>
      <c r="B14" s="624"/>
      <c r="C14" s="650"/>
      <c r="D14" s="668"/>
      <c r="E14" s="668"/>
      <c r="F14" s="668"/>
      <c r="G14" s="668"/>
      <c r="H14" s="668"/>
      <c r="I14" s="668"/>
      <c r="J14" s="668"/>
      <c r="K14" s="668"/>
      <c r="L14" s="668"/>
      <c r="M14" s="668"/>
      <c r="N14" s="668"/>
      <c r="O14" s="668"/>
      <c r="P14" s="668"/>
      <c r="Q14" s="668"/>
      <c r="R14" s="668"/>
      <c r="S14" s="668"/>
      <c r="T14" s="668"/>
      <c r="U14" s="668"/>
      <c r="V14" s="668"/>
      <c r="W14" s="651"/>
      <c r="X14" s="655"/>
      <c r="Y14" s="656"/>
      <c r="Z14" s="656"/>
      <c r="AA14" s="656"/>
      <c r="AB14" s="656"/>
      <c r="AC14" s="656"/>
      <c r="AD14" s="656"/>
      <c r="AE14" s="656"/>
      <c r="AF14" s="656"/>
      <c r="AG14" s="656"/>
      <c r="AH14" s="656"/>
      <c r="AI14" s="656"/>
      <c r="AJ14" s="656"/>
      <c r="AK14" s="656"/>
      <c r="AL14" s="279"/>
      <c r="AM14" s="279"/>
      <c r="AN14" s="279"/>
      <c r="AO14" s="279"/>
      <c r="AP14" s="279"/>
      <c r="AQ14" s="280"/>
    </row>
    <row r="15" spans="1:43" ht="15.95" customHeight="1">
      <c r="A15" s="623"/>
      <c r="B15" s="624"/>
      <c r="C15" s="659" t="s">
        <v>531</v>
      </c>
      <c r="D15" s="657"/>
      <c r="E15" s="657"/>
      <c r="F15" s="657"/>
      <c r="G15" s="657"/>
      <c r="H15" s="657"/>
      <c r="I15" s="657"/>
      <c r="J15" s="657"/>
      <c r="K15" s="657"/>
      <c r="L15" s="657"/>
      <c r="M15" s="657"/>
      <c r="N15" s="657"/>
      <c r="O15" s="657"/>
      <c r="P15" s="657"/>
      <c r="Q15" s="657"/>
      <c r="R15" s="657"/>
      <c r="S15" s="657"/>
      <c r="T15" s="657"/>
      <c r="U15" s="657"/>
      <c r="V15" s="657"/>
      <c r="W15" s="657"/>
      <c r="X15" s="652" t="s">
        <v>536</v>
      </c>
      <c r="Y15" s="652" t="str">
        <f>IF(Data!$W$27=Z15,"þ","o")</f>
        <v>o</v>
      </c>
      <c r="Z15" s="657" t="s">
        <v>529</v>
      </c>
      <c r="AA15" s="657"/>
      <c r="AB15" s="657"/>
      <c r="AC15" s="657"/>
      <c r="AD15" s="657"/>
      <c r="AE15" s="657"/>
      <c r="AF15" s="657"/>
      <c r="AG15" s="657"/>
      <c r="AH15" s="652" t="s">
        <v>526</v>
      </c>
      <c r="AI15" s="652" t="str">
        <f>IF(Data!$W$27=AJ15,"þ","o")</f>
        <v>o</v>
      </c>
      <c r="AJ15" s="657" t="s">
        <v>530</v>
      </c>
      <c r="AK15" s="657"/>
      <c r="AL15" s="657"/>
      <c r="AM15" s="657"/>
      <c r="AN15" s="657"/>
      <c r="AO15" s="657"/>
      <c r="AP15" s="657"/>
      <c r="AQ15" s="658"/>
    </row>
    <row r="16" spans="1:43" ht="15.95" customHeight="1">
      <c r="A16" s="623"/>
      <c r="B16" s="624"/>
      <c r="C16" s="653" t="s">
        <v>370</v>
      </c>
      <c r="D16" s="654"/>
      <c r="E16" s="654"/>
      <c r="F16" s="654"/>
      <c r="G16" s="654"/>
      <c r="H16" s="654"/>
      <c r="I16" s="654"/>
      <c r="J16" s="654"/>
      <c r="K16" s="654"/>
      <c r="L16" s="654"/>
      <c r="M16" s="654"/>
      <c r="N16" s="654"/>
      <c r="O16" s="654"/>
      <c r="P16" s="654"/>
      <c r="Q16" s="660"/>
      <c r="R16" s="281"/>
      <c r="S16" s="282"/>
      <c r="T16" s="282"/>
      <c r="U16" s="282"/>
      <c r="V16" s="282"/>
      <c r="W16" s="282"/>
      <c r="X16" s="282"/>
      <c r="Y16" s="282"/>
      <c r="Z16" s="282"/>
      <c r="AA16" s="282"/>
      <c r="AB16" s="282"/>
      <c r="AC16" s="282"/>
      <c r="AD16" s="282"/>
      <c r="AE16" s="282"/>
      <c r="AF16" s="282"/>
      <c r="AG16" s="282"/>
      <c r="AH16" s="283"/>
      <c r="AI16" s="653" t="s">
        <v>439</v>
      </c>
      <c r="AJ16" s="654"/>
      <c r="AK16" s="654"/>
      <c r="AL16" s="654"/>
      <c r="AM16" s="654"/>
      <c r="AN16" s="654"/>
      <c r="AO16" s="654"/>
      <c r="AP16" s="654"/>
      <c r="AQ16" s="665"/>
    </row>
    <row r="17" spans="1:43" ht="15.95" customHeight="1">
      <c r="A17" s="623"/>
      <c r="B17" s="624"/>
      <c r="C17" s="655"/>
      <c r="D17" s="656"/>
      <c r="E17" s="656"/>
      <c r="F17" s="656"/>
      <c r="G17" s="656"/>
      <c r="H17" s="656"/>
      <c r="I17" s="656"/>
      <c r="J17" s="656"/>
      <c r="K17" s="656"/>
      <c r="L17" s="656"/>
      <c r="M17" s="656"/>
      <c r="N17" s="656"/>
      <c r="O17" s="656"/>
      <c r="P17" s="656"/>
      <c r="Q17" s="661"/>
      <c r="R17" s="154"/>
      <c r="S17" s="154"/>
      <c r="T17" s="154"/>
      <c r="U17" s="154"/>
      <c r="V17" s="154"/>
      <c r="W17" s="154"/>
      <c r="X17" s="154"/>
      <c r="Y17" s="154"/>
      <c r="Z17" s="154"/>
      <c r="AA17" s="154"/>
      <c r="AB17" s="154"/>
      <c r="AC17" s="154"/>
      <c r="AD17" s="154"/>
      <c r="AE17" s="154"/>
      <c r="AF17" s="154"/>
      <c r="AG17" s="154"/>
      <c r="AH17" s="155"/>
      <c r="AI17" s="655"/>
      <c r="AJ17" s="656"/>
      <c r="AK17" s="656"/>
      <c r="AL17" s="656"/>
      <c r="AM17" s="656"/>
      <c r="AN17" s="656"/>
      <c r="AO17" s="656"/>
      <c r="AP17" s="656"/>
      <c r="AQ17" s="666"/>
    </row>
    <row r="18" spans="1:43" ht="15.95" customHeight="1">
      <c r="A18" s="623"/>
      <c r="B18" s="624"/>
      <c r="C18" s="659" t="s">
        <v>535</v>
      </c>
      <c r="D18" s="657"/>
      <c r="E18" s="657"/>
      <c r="F18" s="657"/>
      <c r="G18" s="657"/>
      <c r="H18" s="657"/>
      <c r="I18" s="657"/>
      <c r="J18" s="657"/>
      <c r="K18" s="657"/>
      <c r="L18" s="657"/>
      <c r="M18" s="657"/>
      <c r="N18" s="657"/>
      <c r="O18" s="657"/>
      <c r="P18" s="652" t="s">
        <v>536</v>
      </c>
      <c r="Q18" s="652"/>
      <c r="R18" s="657" t="s">
        <v>534</v>
      </c>
      <c r="S18" s="657"/>
      <c r="T18" s="657"/>
      <c r="U18" s="657"/>
      <c r="V18" s="652" t="s">
        <v>526</v>
      </c>
      <c r="W18" s="652"/>
      <c r="X18" s="657" t="s">
        <v>533</v>
      </c>
      <c r="Y18" s="657"/>
      <c r="Z18" s="657"/>
      <c r="AA18" s="657"/>
      <c r="AB18" s="657"/>
      <c r="AC18" s="652" t="s">
        <v>526</v>
      </c>
      <c r="AD18" s="652"/>
      <c r="AE18" s="657" t="s">
        <v>532</v>
      </c>
      <c r="AF18" s="657"/>
      <c r="AG18" s="657"/>
      <c r="AH18" s="657"/>
      <c r="AI18" s="657"/>
      <c r="AJ18" s="657"/>
      <c r="AK18" s="657"/>
      <c r="AL18" s="657"/>
      <c r="AM18" s="657"/>
      <c r="AN18" s="657"/>
      <c r="AO18" s="657"/>
      <c r="AP18" s="657"/>
      <c r="AQ18" s="658"/>
    </row>
    <row r="19" spans="1:43" ht="15.95" customHeight="1">
      <c r="A19" s="623" t="s">
        <v>303</v>
      </c>
      <c r="B19" s="624"/>
      <c r="C19" s="538">
        <v>1</v>
      </c>
      <c r="D19" s="538"/>
      <c r="E19" s="555" t="s">
        <v>304</v>
      </c>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37">
        <v>1</v>
      </c>
      <c r="AJ19" s="537"/>
      <c r="AK19" s="539">
        <f>'Form No.16'!M29</f>
        <v>366268</v>
      </c>
      <c r="AL19" s="539"/>
      <c r="AM19" s="539"/>
      <c r="AN19" s="539"/>
      <c r="AO19" s="539"/>
      <c r="AP19" s="539"/>
      <c r="AQ19" s="540"/>
    </row>
    <row r="20" spans="1:43" ht="15.95" customHeight="1">
      <c r="A20" s="623"/>
      <c r="B20" s="624"/>
      <c r="C20" s="538">
        <v>2</v>
      </c>
      <c r="D20" s="538"/>
      <c r="E20" s="555" t="s">
        <v>305</v>
      </c>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662"/>
      <c r="AJ20" s="662"/>
      <c r="AK20" s="662"/>
      <c r="AL20" s="662"/>
      <c r="AM20" s="662"/>
      <c r="AN20" s="662"/>
      <c r="AO20" s="662"/>
      <c r="AP20" s="662"/>
      <c r="AQ20" s="663"/>
    </row>
    <row r="21" spans="1:43" ht="15.95" customHeight="1">
      <c r="A21" s="623"/>
      <c r="B21" s="624"/>
      <c r="C21" s="646"/>
      <c r="D21" s="647"/>
      <c r="E21" s="538" t="s">
        <v>258</v>
      </c>
      <c r="F21" s="538"/>
      <c r="G21" s="542" t="s">
        <v>306</v>
      </c>
      <c r="H21" s="542"/>
      <c r="I21" s="542"/>
      <c r="J21" s="542"/>
      <c r="K21" s="542"/>
      <c r="L21" s="542"/>
      <c r="M21" s="542"/>
      <c r="N21" s="542"/>
      <c r="O21" s="542"/>
      <c r="P21" s="542"/>
      <c r="Q21" s="542"/>
      <c r="R21" s="542"/>
      <c r="S21" s="542"/>
      <c r="T21" s="542"/>
      <c r="U21" s="542"/>
      <c r="V21" s="542"/>
      <c r="W21" s="542"/>
      <c r="X21" s="542"/>
      <c r="Y21" s="538" t="s">
        <v>307</v>
      </c>
      <c r="Z21" s="538"/>
      <c r="AA21" s="556">
        <v>0</v>
      </c>
      <c r="AB21" s="556"/>
      <c r="AC21" s="556"/>
      <c r="AD21" s="556"/>
      <c r="AE21" s="556"/>
      <c r="AF21" s="556"/>
      <c r="AG21" s="556"/>
      <c r="AH21" s="556"/>
      <c r="AI21" s="662"/>
      <c r="AJ21" s="662"/>
      <c r="AK21" s="662"/>
      <c r="AL21" s="662"/>
      <c r="AM21" s="662"/>
      <c r="AN21" s="662"/>
      <c r="AO21" s="662"/>
      <c r="AP21" s="662"/>
      <c r="AQ21" s="663"/>
    </row>
    <row r="22" spans="1:43" ht="15.95" customHeight="1">
      <c r="A22" s="623"/>
      <c r="B22" s="624"/>
      <c r="C22" s="648"/>
      <c r="D22" s="649"/>
      <c r="E22" s="538" t="s">
        <v>261</v>
      </c>
      <c r="F22" s="538"/>
      <c r="G22" s="542" t="s">
        <v>308</v>
      </c>
      <c r="H22" s="542"/>
      <c r="I22" s="542"/>
      <c r="J22" s="542"/>
      <c r="K22" s="542"/>
      <c r="L22" s="542"/>
      <c r="M22" s="542"/>
      <c r="N22" s="542"/>
      <c r="O22" s="542"/>
      <c r="P22" s="542"/>
      <c r="Q22" s="542"/>
      <c r="R22" s="542"/>
      <c r="S22" s="542"/>
      <c r="T22" s="542"/>
      <c r="U22" s="542"/>
      <c r="V22" s="542"/>
      <c r="W22" s="542"/>
      <c r="X22" s="542"/>
      <c r="Y22" s="538" t="s">
        <v>309</v>
      </c>
      <c r="Z22" s="538"/>
      <c r="AA22" s="556">
        <v>0</v>
      </c>
      <c r="AB22" s="556"/>
      <c r="AC22" s="556"/>
      <c r="AD22" s="556"/>
      <c r="AE22" s="556"/>
      <c r="AF22" s="556"/>
      <c r="AG22" s="556"/>
      <c r="AH22" s="556"/>
      <c r="AI22" s="662"/>
      <c r="AJ22" s="662"/>
      <c r="AK22" s="662"/>
      <c r="AL22" s="662"/>
      <c r="AM22" s="662"/>
      <c r="AN22" s="662"/>
      <c r="AO22" s="662"/>
      <c r="AP22" s="662"/>
      <c r="AQ22" s="663"/>
    </row>
    <row r="23" spans="1:43" ht="15.95" customHeight="1">
      <c r="A23" s="623"/>
      <c r="B23" s="624"/>
      <c r="C23" s="650"/>
      <c r="D23" s="651"/>
      <c r="E23" s="538" t="s">
        <v>264</v>
      </c>
      <c r="F23" s="538"/>
      <c r="G23" s="555" t="s">
        <v>310</v>
      </c>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37" t="s">
        <v>311</v>
      </c>
      <c r="AJ23" s="537"/>
      <c r="AK23" s="539">
        <f>AA21+AA22</f>
        <v>0</v>
      </c>
      <c r="AL23" s="539"/>
      <c r="AM23" s="539"/>
      <c r="AN23" s="539"/>
      <c r="AO23" s="539"/>
      <c r="AP23" s="539"/>
      <c r="AQ23" s="540"/>
    </row>
    <row r="24" spans="1:43" ht="15.95" customHeight="1">
      <c r="A24" s="623"/>
      <c r="B24" s="624"/>
      <c r="C24" s="538">
        <v>3</v>
      </c>
      <c r="D24" s="538"/>
      <c r="E24" s="555" t="s">
        <v>312</v>
      </c>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37">
        <v>3</v>
      </c>
      <c r="AJ24" s="537"/>
      <c r="AK24" s="539">
        <f>AK19+AK23</f>
        <v>366268</v>
      </c>
      <c r="AL24" s="539"/>
      <c r="AM24" s="539"/>
      <c r="AN24" s="539"/>
      <c r="AO24" s="539"/>
      <c r="AP24" s="539"/>
      <c r="AQ24" s="540"/>
    </row>
    <row r="25" spans="1:43" ht="15.95" customHeight="1">
      <c r="A25" s="623"/>
      <c r="B25" s="624"/>
      <c r="C25" s="538">
        <v>4</v>
      </c>
      <c r="D25" s="538"/>
      <c r="E25" s="555" t="s">
        <v>313</v>
      </c>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685"/>
      <c r="AJ25" s="685"/>
      <c r="AK25" s="685"/>
      <c r="AL25" s="685"/>
      <c r="AM25" s="685"/>
      <c r="AN25" s="685"/>
      <c r="AO25" s="685"/>
      <c r="AP25" s="685"/>
      <c r="AQ25" s="686"/>
    </row>
    <row r="26" spans="1:43" ht="15.95" customHeight="1">
      <c r="A26" s="623"/>
      <c r="B26" s="624"/>
      <c r="C26" s="538"/>
      <c r="D26" s="538"/>
      <c r="E26" s="538" t="s">
        <v>258</v>
      </c>
      <c r="F26" s="538"/>
      <c r="G26" s="542" t="s">
        <v>314</v>
      </c>
      <c r="H26" s="542"/>
      <c r="I26" s="542"/>
      <c r="J26" s="625">
        <f>'Form No.16'!M45</f>
        <v>100000</v>
      </c>
      <c r="K26" s="625"/>
      <c r="L26" s="625"/>
      <c r="M26" s="625"/>
      <c r="N26" s="625"/>
      <c r="O26" s="538" t="s">
        <v>270</v>
      </c>
      <c r="P26" s="538"/>
      <c r="Q26" s="542" t="s">
        <v>315</v>
      </c>
      <c r="R26" s="542"/>
      <c r="S26" s="542"/>
      <c r="T26" s="625">
        <f>Data!V16</f>
        <v>0</v>
      </c>
      <c r="U26" s="625"/>
      <c r="V26" s="625"/>
      <c r="W26" s="625"/>
      <c r="X26" s="625"/>
      <c r="Y26" s="538" t="s">
        <v>17</v>
      </c>
      <c r="Z26" s="538"/>
      <c r="AA26" s="542" t="s">
        <v>316</v>
      </c>
      <c r="AB26" s="542"/>
      <c r="AC26" s="542"/>
      <c r="AD26" s="625">
        <f>Data!V20</f>
        <v>0</v>
      </c>
      <c r="AE26" s="625"/>
      <c r="AF26" s="625"/>
      <c r="AG26" s="625"/>
      <c r="AH26" s="625"/>
      <c r="AI26" s="685"/>
      <c r="AJ26" s="685"/>
      <c r="AK26" s="685"/>
      <c r="AL26" s="685"/>
      <c r="AM26" s="685"/>
      <c r="AN26" s="685"/>
      <c r="AO26" s="685"/>
      <c r="AP26" s="685"/>
      <c r="AQ26" s="686"/>
    </row>
    <row r="27" spans="1:43" ht="15.95" customHeight="1">
      <c r="A27" s="623"/>
      <c r="B27" s="624"/>
      <c r="C27" s="538"/>
      <c r="D27" s="538"/>
      <c r="E27" s="538" t="s">
        <v>261</v>
      </c>
      <c r="F27" s="538"/>
      <c r="G27" s="542" t="s">
        <v>317</v>
      </c>
      <c r="H27" s="542"/>
      <c r="I27" s="542"/>
      <c r="J27" s="625">
        <f>Data!Q24</f>
        <v>0</v>
      </c>
      <c r="K27" s="625"/>
      <c r="L27" s="625"/>
      <c r="M27" s="625"/>
      <c r="N27" s="625"/>
      <c r="O27" s="538" t="s">
        <v>318</v>
      </c>
      <c r="P27" s="538"/>
      <c r="Q27" s="542" t="s">
        <v>319</v>
      </c>
      <c r="R27" s="542"/>
      <c r="S27" s="542"/>
      <c r="T27" s="625">
        <f>Data!V17</f>
        <v>0</v>
      </c>
      <c r="U27" s="625"/>
      <c r="V27" s="625"/>
      <c r="W27" s="625"/>
      <c r="X27" s="625"/>
      <c r="Y27" s="538" t="s">
        <v>320</v>
      </c>
      <c r="Z27" s="538" t="s">
        <v>321</v>
      </c>
      <c r="AA27" s="542" t="s">
        <v>321</v>
      </c>
      <c r="AB27" s="542"/>
      <c r="AC27" s="542"/>
      <c r="AD27" s="625">
        <f>Data!V21</f>
        <v>0</v>
      </c>
      <c r="AE27" s="625"/>
      <c r="AF27" s="625"/>
      <c r="AG27" s="625"/>
      <c r="AH27" s="625"/>
      <c r="AI27" s="685"/>
      <c r="AJ27" s="685"/>
      <c r="AK27" s="685"/>
      <c r="AL27" s="685"/>
      <c r="AM27" s="685"/>
      <c r="AN27" s="685"/>
      <c r="AO27" s="685"/>
      <c r="AP27" s="685"/>
      <c r="AQ27" s="686"/>
    </row>
    <row r="28" spans="1:43" ht="15.95" customHeight="1">
      <c r="A28" s="623"/>
      <c r="B28" s="624"/>
      <c r="C28" s="538"/>
      <c r="D28" s="538"/>
      <c r="E28" s="538" t="s">
        <v>264</v>
      </c>
      <c r="F28" s="538"/>
      <c r="G28" s="542" t="s">
        <v>322</v>
      </c>
      <c r="H28" s="542"/>
      <c r="I28" s="542"/>
      <c r="J28" s="625">
        <f>Data!Q25</f>
        <v>0</v>
      </c>
      <c r="K28" s="625"/>
      <c r="L28" s="625"/>
      <c r="M28" s="625"/>
      <c r="N28" s="625"/>
      <c r="O28" s="538" t="s">
        <v>323</v>
      </c>
      <c r="P28" s="538"/>
      <c r="Q28" s="542" t="s">
        <v>324</v>
      </c>
      <c r="R28" s="542"/>
      <c r="S28" s="542"/>
      <c r="T28" s="625">
        <f>Data!V18</f>
        <v>0</v>
      </c>
      <c r="U28" s="625"/>
      <c r="V28" s="625"/>
      <c r="W28" s="625"/>
      <c r="X28" s="625"/>
      <c r="Y28" s="538" t="s">
        <v>325</v>
      </c>
      <c r="Z28" s="538" t="s">
        <v>326</v>
      </c>
      <c r="AA28" s="542" t="s">
        <v>326</v>
      </c>
      <c r="AB28" s="542"/>
      <c r="AC28" s="542"/>
      <c r="AD28" s="625">
        <f>Data!V22</f>
        <v>0</v>
      </c>
      <c r="AE28" s="625"/>
      <c r="AF28" s="625"/>
      <c r="AG28" s="625"/>
      <c r="AH28" s="625"/>
      <c r="AI28" s="685"/>
      <c r="AJ28" s="685"/>
      <c r="AK28" s="685"/>
      <c r="AL28" s="685"/>
      <c r="AM28" s="685"/>
      <c r="AN28" s="685"/>
      <c r="AO28" s="685"/>
      <c r="AP28" s="685"/>
      <c r="AQ28" s="686"/>
    </row>
    <row r="29" spans="1:43" ht="15.95" customHeight="1">
      <c r="A29" s="623"/>
      <c r="B29" s="624"/>
      <c r="C29" s="538"/>
      <c r="D29" s="538"/>
      <c r="E29" s="538" t="s">
        <v>267</v>
      </c>
      <c r="F29" s="538"/>
      <c r="G29" s="542" t="s">
        <v>327</v>
      </c>
      <c r="H29" s="542"/>
      <c r="I29" s="542"/>
      <c r="J29" s="625">
        <f>Data!V15</f>
        <v>0</v>
      </c>
      <c r="K29" s="625"/>
      <c r="L29" s="625"/>
      <c r="M29" s="625"/>
      <c r="N29" s="625"/>
      <c r="O29" s="538" t="s">
        <v>328</v>
      </c>
      <c r="P29" s="538"/>
      <c r="Q29" s="542" t="s">
        <v>329</v>
      </c>
      <c r="R29" s="542"/>
      <c r="S29" s="542"/>
      <c r="T29" s="625">
        <f>Data!V19</f>
        <v>40</v>
      </c>
      <c r="U29" s="625"/>
      <c r="V29" s="625"/>
      <c r="W29" s="625"/>
      <c r="X29" s="625"/>
      <c r="Y29" s="538" t="s">
        <v>330</v>
      </c>
      <c r="Z29" s="538" t="s">
        <v>331</v>
      </c>
      <c r="AA29" s="542" t="s">
        <v>331</v>
      </c>
      <c r="AB29" s="542"/>
      <c r="AC29" s="542"/>
      <c r="AD29" s="625">
        <f>Data!V23</f>
        <v>0</v>
      </c>
      <c r="AE29" s="625"/>
      <c r="AF29" s="625"/>
      <c r="AG29" s="625"/>
      <c r="AH29" s="625"/>
      <c r="AI29" s="685"/>
      <c r="AJ29" s="685"/>
      <c r="AK29" s="685"/>
      <c r="AL29" s="685"/>
      <c r="AM29" s="685"/>
      <c r="AN29" s="685"/>
      <c r="AO29" s="685"/>
      <c r="AP29" s="685"/>
      <c r="AQ29" s="686"/>
    </row>
    <row r="30" spans="1:43" ht="15.95" customHeight="1">
      <c r="A30" s="623"/>
      <c r="B30" s="624"/>
      <c r="C30" s="538"/>
      <c r="D30" s="538"/>
      <c r="E30" s="538" t="s">
        <v>332</v>
      </c>
      <c r="F30" s="538"/>
      <c r="G30" s="555" t="s">
        <v>333</v>
      </c>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37" t="s">
        <v>334</v>
      </c>
      <c r="AJ30" s="537"/>
      <c r="AK30" s="539">
        <f>J26+J27+J28+J29+T26+T27+T28+T29+AD26+AD27+AD28+AD29</f>
        <v>100040</v>
      </c>
      <c r="AL30" s="539"/>
      <c r="AM30" s="539"/>
      <c r="AN30" s="539"/>
      <c r="AO30" s="539"/>
      <c r="AP30" s="539"/>
      <c r="AQ30" s="540"/>
    </row>
    <row r="31" spans="1:43" ht="15.95" customHeight="1">
      <c r="A31" s="623"/>
      <c r="B31" s="624"/>
      <c r="C31" s="538">
        <v>5</v>
      </c>
      <c r="D31" s="538"/>
      <c r="E31" s="555" t="s">
        <v>335</v>
      </c>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37">
        <v>5</v>
      </c>
      <c r="AJ31" s="537"/>
      <c r="AK31" s="539">
        <f>MAX(AK24-AK30,0)</f>
        <v>266228</v>
      </c>
      <c r="AL31" s="539"/>
      <c r="AM31" s="539"/>
      <c r="AN31" s="539"/>
      <c r="AO31" s="539"/>
      <c r="AP31" s="539"/>
      <c r="AQ31" s="540"/>
    </row>
    <row r="32" spans="1:43" ht="15.95" customHeight="1">
      <c r="A32" s="623"/>
      <c r="B32" s="624"/>
      <c r="C32" s="538">
        <v>6</v>
      </c>
      <c r="D32" s="538"/>
      <c r="E32" s="555" t="s">
        <v>336</v>
      </c>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37">
        <v>6</v>
      </c>
      <c r="AJ32" s="537"/>
      <c r="AK32" s="539">
        <v>0</v>
      </c>
      <c r="AL32" s="539"/>
      <c r="AM32" s="539"/>
      <c r="AN32" s="539"/>
      <c r="AO32" s="539"/>
      <c r="AP32" s="539"/>
      <c r="AQ32" s="540"/>
    </row>
    <row r="33" spans="1:43" ht="15.95" customHeight="1">
      <c r="A33" s="623"/>
      <c r="B33" s="624"/>
      <c r="C33" s="538">
        <v>7</v>
      </c>
      <c r="D33" s="538"/>
      <c r="E33" s="555" t="s">
        <v>337</v>
      </c>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37">
        <v>7</v>
      </c>
      <c r="AJ33" s="537"/>
      <c r="AK33" s="539">
        <f>SUM(AK31:AK32)</f>
        <v>266228</v>
      </c>
      <c r="AL33" s="539"/>
      <c r="AM33" s="539"/>
      <c r="AN33" s="539"/>
      <c r="AO33" s="539"/>
      <c r="AP33" s="539"/>
      <c r="AQ33" s="540"/>
    </row>
    <row r="34" spans="1:43" ht="15.95" customHeight="1">
      <c r="A34" s="623" t="s">
        <v>338</v>
      </c>
      <c r="B34" s="624"/>
      <c r="C34" s="538">
        <v>8</v>
      </c>
      <c r="D34" s="538"/>
      <c r="E34" s="538" t="s">
        <v>258</v>
      </c>
      <c r="F34" s="538"/>
      <c r="G34" s="555" t="s">
        <v>339</v>
      </c>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37" t="s">
        <v>340</v>
      </c>
      <c r="AJ34" s="537"/>
      <c r="AK34" s="539">
        <f>'Form No.16'!M56-'Form No.16'!K57</f>
        <v>4623</v>
      </c>
      <c r="AL34" s="539"/>
      <c r="AM34" s="539"/>
      <c r="AN34" s="539"/>
      <c r="AO34" s="539"/>
      <c r="AP34" s="539"/>
      <c r="AQ34" s="540"/>
    </row>
    <row r="35" spans="1:43" ht="15.95" customHeight="1">
      <c r="A35" s="623"/>
      <c r="B35" s="624"/>
      <c r="C35" s="538"/>
      <c r="D35" s="538"/>
      <c r="E35" s="538" t="s">
        <v>261</v>
      </c>
      <c r="F35" s="538"/>
      <c r="G35" s="555" t="s">
        <v>341</v>
      </c>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37" t="s">
        <v>342</v>
      </c>
      <c r="AJ35" s="537"/>
      <c r="AK35" s="539">
        <v>0</v>
      </c>
      <c r="AL35" s="539"/>
      <c r="AM35" s="539"/>
      <c r="AN35" s="539"/>
      <c r="AO35" s="539"/>
      <c r="AP35" s="539"/>
      <c r="AQ35" s="540"/>
    </row>
    <row r="36" spans="1:43" ht="15.95" customHeight="1">
      <c r="A36" s="623"/>
      <c r="B36" s="624"/>
      <c r="C36" s="538">
        <v>9</v>
      </c>
      <c r="D36" s="538"/>
      <c r="E36" s="538" t="s">
        <v>258</v>
      </c>
      <c r="F36" s="538"/>
      <c r="G36" s="542" t="s">
        <v>343</v>
      </c>
      <c r="H36" s="542"/>
      <c r="I36" s="542"/>
      <c r="J36" s="542"/>
      <c r="K36" s="542"/>
      <c r="L36" s="542"/>
      <c r="M36" s="542"/>
      <c r="N36" s="542"/>
      <c r="O36" s="542"/>
      <c r="P36" s="542"/>
      <c r="Q36" s="542"/>
      <c r="R36" s="542"/>
      <c r="S36" s="542"/>
      <c r="T36" s="542"/>
      <c r="U36" s="542"/>
      <c r="V36" s="542"/>
      <c r="W36" s="542"/>
      <c r="X36" s="542"/>
      <c r="Y36" s="538" t="s">
        <v>344</v>
      </c>
      <c r="Z36" s="538"/>
      <c r="AA36" s="556">
        <f>AK34-AK35</f>
        <v>4623</v>
      </c>
      <c r="AB36" s="556"/>
      <c r="AC36" s="556"/>
      <c r="AD36" s="556"/>
      <c r="AE36" s="556"/>
      <c r="AF36" s="556"/>
      <c r="AG36" s="556"/>
      <c r="AH36" s="556"/>
      <c r="AI36" s="557"/>
      <c r="AJ36" s="557"/>
      <c r="AK36" s="557"/>
      <c r="AL36" s="557"/>
      <c r="AM36" s="557"/>
      <c r="AN36" s="557"/>
      <c r="AO36" s="557"/>
      <c r="AP36" s="557"/>
      <c r="AQ36" s="558"/>
    </row>
    <row r="37" spans="1:43" ht="15.95" customHeight="1">
      <c r="A37" s="623"/>
      <c r="B37" s="624"/>
      <c r="C37" s="537"/>
      <c r="D37" s="537"/>
      <c r="E37" s="538" t="s">
        <v>261</v>
      </c>
      <c r="F37" s="538"/>
      <c r="G37" s="542" t="s">
        <v>345</v>
      </c>
      <c r="H37" s="542"/>
      <c r="I37" s="542"/>
      <c r="J37" s="542"/>
      <c r="K37" s="542"/>
      <c r="L37" s="542"/>
      <c r="M37" s="542"/>
      <c r="N37" s="542"/>
      <c r="O37" s="542"/>
      <c r="P37" s="542"/>
      <c r="Q37" s="542"/>
      <c r="R37" s="542"/>
      <c r="S37" s="542"/>
      <c r="T37" s="542"/>
      <c r="U37" s="542"/>
      <c r="V37" s="542"/>
      <c r="W37" s="542"/>
      <c r="X37" s="542"/>
      <c r="Y37" s="538" t="s">
        <v>346</v>
      </c>
      <c r="Z37" s="538"/>
      <c r="AA37" s="556">
        <f>'Form No.16'!M58</f>
        <v>0</v>
      </c>
      <c r="AB37" s="556"/>
      <c r="AC37" s="556"/>
      <c r="AD37" s="556"/>
      <c r="AE37" s="556"/>
      <c r="AF37" s="556"/>
      <c r="AG37" s="556"/>
      <c r="AH37" s="556"/>
      <c r="AI37" s="557"/>
      <c r="AJ37" s="557"/>
      <c r="AK37" s="557"/>
      <c r="AL37" s="557"/>
      <c r="AM37" s="557"/>
      <c r="AN37" s="557"/>
      <c r="AO37" s="557"/>
      <c r="AP37" s="557"/>
      <c r="AQ37" s="558"/>
    </row>
    <row r="38" spans="1:43" ht="28.5" customHeight="1">
      <c r="A38" s="623"/>
      <c r="B38" s="624"/>
      <c r="C38" s="537"/>
      <c r="D38" s="537"/>
      <c r="E38" s="538" t="s">
        <v>264</v>
      </c>
      <c r="F38" s="538"/>
      <c r="G38" s="542" t="s">
        <v>347</v>
      </c>
      <c r="H38" s="542"/>
      <c r="I38" s="542"/>
      <c r="J38" s="542"/>
      <c r="K38" s="542"/>
      <c r="L38" s="542"/>
      <c r="M38" s="542"/>
      <c r="N38" s="542"/>
      <c r="O38" s="542"/>
      <c r="P38" s="542"/>
      <c r="Q38" s="542"/>
      <c r="R38" s="542"/>
      <c r="S38" s="542"/>
      <c r="T38" s="542"/>
      <c r="U38" s="542"/>
      <c r="V38" s="542"/>
      <c r="W38" s="542"/>
      <c r="X38" s="542"/>
      <c r="Y38" s="538" t="s">
        <v>348</v>
      </c>
      <c r="Z38" s="538"/>
      <c r="AA38" s="556">
        <f>'Form No.16'!M59</f>
        <v>139</v>
      </c>
      <c r="AB38" s="556"/>
      <c r="AC38" s="556"/>
      <c r="AD38" s="556"/>
      <c r="AE38" s="556"/>
      <c r="AF38" s="556"/>
      <c r="AG38" s="556"/>
      <c r="AH38" s="556"/>
      <c r="AI38" s="557"/>
      <c r="AJ38" s="557"/>
      <c r="AK38" s="557"/>
      <c r="AL38" s="557"/>
      <c r="AM38" s="557"/>
      <c r="AN38" s="557"/>
      <c r="AO38" s="557"/>
      <c r="AP38" s="557"/>
      <c r="AQ38" s="558"/>
    </row>
    <row r="39" spans="1:43" ht="15.95" customHeight="1">
      <c r="A39" s="623"/>
      <c r="B39" s="624"/>
      <c r="C39" s="537"/>
      <c r="D39" s="537"/>
      <c r="E39" s="537" t="s">
        <v>267</v>
      </c>
      <c r="F39" s="537"/>
      <c r="G39" s="555" t="s">
        <v>349</v>
      </c>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37" t="s">
        <v>350</v>
      </c>
      <c r="AJ39" s="537"/>
      <c r="AK39" s="539">
        <f>AA36+AA37+AA38</f>
        <v>4762</v>
      </c>
      <c r="AL39" s="539"/>
      <c r="AM39" s="539"/>
      <c r="AN39" s="539"/>
      <c r="AO39" s="539"/>
      <c r="AP39" s="539"/>
      <c r="AQ39" s="540"/>
    </row>
    <row r="40" spans="1:43" ht="15.95" customHeight="1">
      <c r="A40" s="623"/>
      <c r="B40" s="624"/>
      <c r="C40" s="538">
        <v>10</v>
      </c>
      <c r="D40" s="538"/>
      <c r="E40" s="542" t="s">
        <v>351</v>
      </c>
      <c r="F40" s="542"/>
      <c r="G40" s="542"/>
      <c r="H40" s="542"/>
      <c r="I40" s="542"/>
      <c r="J40" s="542"/>
      <c r="K40" s="542"/>
      <c r="L40" s="542"/>
      <c r="M40" s="542"/>
      <c r="N40" s="542"/>
      <c r="O40" s="542"/>
      <c r="P40" s="542"/>
      <c r="Q40" s="542"/>
      <c r="R40" s="542"/>
      <c r="S40" s="542"/>
      <c r="T40" s="542"/>
      <c r="U40" s="542"/>
      <c r="V40" s="542"/>
      <c r="W40" s="542"/>
      <c r="X40" s="542"/>
      <c r="Y40" s="538">
        <v>10</v>
      </c>
      <c r="Z40" s="538"/>
      <c r="AA40" s="556">
        <f>'Form No.16'!K61</f>
        <v>0</v>
      </c>
      <c r="AB40" s="556"/>
      <c r="AC40" s="556"/>
      <c r="AD40" s="556"/>
      <c r="AE40" s="556"/>
      <c r="AF40" s="556"/>
      <c r="AG40" s="556"/>
      <c r="AH40" s="556"/>
      <c r="AI40" s="557"/>
      <c r="AJ40" s="557"/>
      <c r="AK40" s="557"/>
      <c r="AL40" s="557"/>
      <c r="AM40" s="557"/>
      <c r="AN40" s="557"/>
      <c r="AO40" s="557"/>
      <c r="AP40" s="557"/>
      <c r="AQ40" s="558"/>
    </row>
    <row r="41" spans="1:43" ht="15.95" customHeight="1">
      <c r="A41" s="623"/>
      <c r="B41" s="624"/>
      <c r="C41" s="538">
        <v>11</v>
      </c>
      <c r="D41" s="538"/>
      <c r="E41" s="542" t="s">
        <v>352</v>
      </c>
      <c r="F41" s="542"/>
      <c r="G41" s="542"/>
      <c r="H41" s="542"/>
      <c r="I41" s="542"/>
      <c r="J41" s="542"/>
      <c r="K41" s="542"/>
      <c r="L41" s="542"/>
      <c r="M41" s="542"/>
      <c r="N41" s="542"/>
      <c r="O41" s="542"/>
      <c r="P41" s="542"/>
      <c r="Q41" s="542"/>
      <c r="R41" s="542"/>
      <c r="S41" s="542"/>
      <c r="T41" s="542"/>
      <c r="U41" s="542"/>
      <c r="V41" s="542"/>
      <c r="W41" s="542"/>
      <c r="X41" s="542"/>
      <c r="Y41" s="538">
        <v>11</v>
      </c>
      <c r="Z41" s="538"/>
      <c r="AA41" s="556">
        <v>0</v>
      </c>
      <c r="AB41" s="556"/>
      <c r="AC41" s="556"/>
      <c r="AD41" s="556"/>
      <c r="AE41" s="556"/>
      <c r="AF41" s="556"/>
      <c r="AG41" s="556"/>
      <c r="AH41" s="556"/>
      <c r="AI41" s="557"/>
      <c r="AJ41" s="557"/>
      <c r="AK41" s="557"/>
      <c r="AL41" s="557"/>
      <c r="AM41" s="557"/>
      <c r="AN41" s="557"/>
      <c r="AO41" s="557"/>
      <c r="AP41" s="557"/>
      <c r="AQ41" s="558"/>
    </row>
    <row r="42" spans="1:43" ht="15.95" customHeight="1">
      <c r="A42" s="623"/>
      <c r="B42" s="624"/>
      <c r="C42" s="538">
        <v>12</v>
      </c>
      <c r="D42" s="538"/>
      <c r="E42" s="555" t="s">
        <v>353</v>
      </c>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37">
        <v>12</v>
      </c>
      <c r="AJ42" s="537"/>
      <c r="AK42" s="539">
        <f>AK39-AA40-AA41</f>
        <v>4762</v>
      </c>
      <c r="AL42" s="539"/>
      <c r="AM42" s="539"/>
      <c r="AN42" s="539"/>
      <c r="AO42" s="539"/>
      <c r="AP42" s="539"/>
      <c r="AQ42" s="540"/>
    </row>
    <row r="43" spans="1:43" ht="15.95" customHeight="1">
      <c r="A43" s="612" t="s">
        <v>354</v>
      </c>
      <c r="B43" s="613"/>
      <c r="C43" s="613"/>
      <c r="D43" s="613"/>
      <c r="E43" s="613"/>
      <c r="F43" s="613"/>
      <c r="G43" s="613"/>
      <c r="H43" s="613"/>
      <c r="I43" s="613"/>
      <c r="J43" s="613"/>
      <c r="K43" s="613"/>
      <c r="L43" s="613"/>
      <c r="M43" s="613"/>
      <c r="N43" s="613"/>
      <c r="O43" s="613"/>
      <c r="P43" s="613"/>
      <c r="Q43" s="613"/>
      <c r="R43" s="613"/>
      <c r="S43" s="614"/>
      <c r="T43" s="537">
        <v>13</v>
      </c>
      <c r="U43" s="537"/>
      <c r="V43" s="538" t="s">
        <v>258</v>
      </c>
      <c r="W43" s="538"/>
      <c r="X43" s="542" t="s">
        <v>355</v>
      </c>
      <c r="Y43" s="542"/>
      <c r="Z43" s="542"/>
      <c r="AA43" s="542"/>
      <c r="AB43" s="542"/>
      <c r="AC43" s="542"/>
      <c r="AD43" s="542"/>
      <c r="AE43" s="542"/>
      <c r="AF43" s="542"/>
      <c r="AG43" s="542"/>
      <c r="AH43" s="542"/>
      <c r="AI43" s="537" t="s">
        <v>356</v>
      </c>
      <c r="AJ43" s="537"/>
      <c r="AK43" s="539">
        <v>0</v>
      </c>
      <c r="AL43" s="539"/>
      <c r="AM43" s="539"/>
      <c r="AN43" s="539"/>
      <c r="AO43" s="539"/>
      <c r="AP43" s="539"/>
      <c r="AQ43" s="540"/>
    </row>
    <row r="44" spans="1:43" ht="15.95" customHeight="1">
      <c r="A44" s="615"/>
      <c r="B44" s="616"/>
      <c r="C44" s="616"/>
      <c r="D44" s="616"/>
      <c r="E44" s="616"/>
      <c r="F44" s="616"/>
      <c r="G44" s="616"/>
      <c r="H44" s="616"/>
      <c r="I44" s="616"/>
      <c r="J44" s="616"/>
      <c r="K44" s="616"/>
      <c r="L44" s="616"/>
      <c r="M44" s="616"/>
      <c r="N44" s="616"/>
      <c r="O44" s="616"/>
      <c r="P44" s="616"/>
      <c r="Q44" s="616"/>
      <c r="R44" s="616"/>
      <c r="S44" s="617"/>
      <c r="T44" s="537"/>
      <c r="U44" s="537"/>
      <c r="V44" s="538" t="s">
        <v>261</v>
      </c>
      <c r="W44" s="538" t="s">
        <v>357</v>
      </c>
      <c r="X44" s="542" t="s">
        <v>357</v>
      </c>
      <c r="Y44" s="542"/>
      <c r="Z44" s="542"/>
      <c r="AA44" s="542"/>
      <c r="AB44" s="542"/>
      <c r="AC44" s="542"/>
      <c r="AD44" s="542"/>
      <c r="AE44" s="542"/>
      <c r="AF44" s="542"/>
      <c r="AG44" s="542"/>
      <c r="AH44" s="542"/>
      <c r="AI44" s="537" t="s">
        <v>358</v>
      </c>
      <c r="AJ44" s="537"/>
      <c r="AK44" s="539">
        <v>0</v>
      </c>
      <c r="AL44" s="539"/>
      <c r="AM44" s="539"/>
      <c r="AN44" s="539"/>
      <c r="AO44" s="539"/>
      <c r="AP44" s="539"/>
      <c r="AQ44" s="540"/>
    </row>
    <row r="45" spans="1:43" ht="15.95" customHeight="1">
      <c r="A45" s="615"/>
      <c r="B45" s="616"/>
      <c r="C45" s="616"/>
      <c r="D45" s="616"/>
      <c r="E45" s="616"/>
      <c r="F45" s="616"/>
      <c r="G45" s="616"/>
      <c r="H45" s="616"/>
      <c r="I45" s="616"/>
      <c r="J45" s="616"/>
      <c r="K45" s="616"/>
      <c r="L45" s="616"/>
      <c r="M45" s="616"/>
      <c r="N45" s="616"/>
      <c r="O45" s="616"/>
      <c r="P45" s="616"/>
      <c r="Q45" s="616"/>
      <c r="R45" s="616"/>
      <c r="S45" s="617"/>
      <c r="T45" s="537"/>
      <c r="U45" s="537"/>
      <c r="V45" s="538" t="s">
        <v>264</v>
      </c>
      <c r="W45" s="538" t="s">
        <v>359</v>
      </c>
      <c r="X45" s="542" t="s">
        <v>359</v>
      </c>
      <c r="Y45" s="542"/>
      <c r="Z45" s="542"/>
      <c r="AA45" s="542"/>
      <c r="AB45" s="542"/>
      <c r="AC45" s="542"/>
      <c r="AD45" s="542"/>
      <c r="AE45" s="542"/>
      <c r="AF45" s="542"/>
      <c r="AG45" s="542"/>
      <c r="AH45" s="542"/>
      <c r="AI45" s="537" t="s">
        <v>360</v>
      </c>
      <c r="AJ45" s="537"/>
      <c r="AK45" s="539">
        <v>0</v>
      </c>
      <c r="AL45" s="539"/>
      <c r="AM45" s="539"/>
      <c r="AN45" s="539"/>
      <c r="AO45" s="539"/>
      <c r="AP45" s="539"/>
      <c r="AQ45" s="540"/>
    </row>
    <row r="46" spans="1:43" ht="24.75" customHeight="1">
      <c r="A46" s="615"/>
      <c r="B46" s="616"/>
      <c r="C46" s="616"/>
      <c r="D46" s="616"/>
      <c r="E46" s="616"/>
      <c r="F46" s="616"/>
      <c r="G46" s="616"/>
      <c r="H46" s="616"/>
      <c r="I46" s="616"/>
      <c r="J46" s="616"/>
      <c r="K46" s="616"/>
      <c r="L46" s="616"/>
      <c r="M46" s="616"/>
      <c r="N46" s="616"/>
      <c r="O46" s="616"/>
      <c r="P46" s="616"/>
      <c r="Q46" s="616"/>
      <c r="R46" s="616"/>
      <c r="S46" s="617"/>
      <c r="T46" s="537"/>
      <c r="U46" s="537"/>
      <c r="V46" s="538" t="s">
        <v>267</v>
      </c>
      <c r="W46" s="538" t="s">
        <v>361</v>
      </c>
      <c r="X46" s="542" t="s">
        <v>361</v>
      </c>
      <c r="Y46" s="542"/>
      <c r="Z46" s="542"/>
      <c r="AA46" s="542"/>
      <c r="AB46" s="542"/>
      <c r="AC46" s="542"/>
      <c r="AD46" s="542"/>
      <c r="AE46" s="542"/>
      <c r="AF46" s="542"/>
      <c r="AG46" s="542"/>
      <c r="AH46" s="542"/>
      <c r="AI46" s="537" t="s">
        <v>362</v>
      </c>
      <c r="AJ46" s="537"/>
      <c r="AK46" s="539">
        <f>SUM(AK43:AK45)</f>
        <v>0</v>
      </c>
      <c r="AL46" s="539"/>
      <c r="AM46" s="539"/>
      <c r="AN46" s="539"/>
      <c r="AO46" s="539"/>
      <c r="AP46" s="539"/>
      <c r="AQ46" s="540"/>
    </row>
    <row r="47" spans="1:43" ht="15" customHeight="1">
      <c r="A47" s="615"/>
      <c r="B47" s="616"/>
      <c r="C47" s="616"/>
      <c r="D47" s="616"/>
      <c r="E47" s="616"/>
      <c r="F47" s="616"/>
      <c r="G47" s="616"/>
      <c r="H47" s="616"/>
      <c r="I47" s="616"/>
      <c r="J47" s="616"/>
      <c r="K47" s="616"/>
      <c r="L47" s="616"/>
      <c r="M47" s="616"/>
      <c r="N47" s="616"/>
      <c r="O47" s="616"/>
      <c r="P47" s="616"/>
      <c r="Q47" s="616"/>
      <c r="R47" s="616"/>
      <c r="S47" s="617"/>
      <c r="T47" s="541">
        <v>14</v>
      </c>
      <c r="U47" s="541"/>
      <c r="V47" s="543" t="s">
        <v>363</v>
      </c>
      <c r="W47" s="543"/>
      <c r="X47" s="543"/>
      <c r="Y47" s="543"/>
      <c r="Z47" s="543"/>
      <c r="AA47" s="543"/>
      <c r="AB47" s="543"/>
      <c r="AC47" s="543"/>
      <c r="AD47" s="543"/>
      <c r="AE47" s="543"/>
      <c r="AF47" s="543"/>
      <c r="AG47" s="543"/>
      <c r="AH47" s="543"/>
      <c r="AI47" s="541">
        <v>14</v>
      </c>
      <c r="AJ47" s="541"/>
      <c r="AK47" s="571">
        <f>AK42+AK46</f>
        <v>4762</v>
      </c>
      <c r="AL47" s="571"/>
      <c r="AM47" s="571"/>
      <c r="AN47" s="571"/>
      <c r="AO47" s="571"/>
      <c r="AP47" s="571"/>
      <c r="AQ47" s="572"/>
    </row>
    <row r="48" spans="1:43" s="286" customFormat="1" ht="22.5" customHeight="1">
      <c r="A48" s="615"/>
      <c r="B48" s="616"/>
      <c r="C48" s="616"/>
      <c r="D48" s="616"/>
      <c r="E48" s="616"/>
      <c r="F48" s="616"/>
      <c r="G48" s="616"/>
      <c r="H48" s="616"/>
      <c r="I48" s="616"/>
      <c r="J48" s="616"/>
      <c r="K48" s="616"/>
      <c r="L48" s="616"/>
      <c r="M48" s="616"/>
      <c r="N48" s="616"/>
      <c r="O48" s="616"/>
      <c r="P48" s="616"/>
      <c r="Q48" s="616"/>
      <c r="R48" s="616"/>
      <c r="S48" s="617"/>
      <c r="T48" s="621" t="s">
        <v>364</v>
      </c>
      <c r="U48" s="622"/>
      <c r="V48" s="622"/>
      <c r="W48" s="622"/>
      <c r="X48" s="622"/>
      <c r="Y48" s="622"/>
      <c r="Z48" s="622"/>
      <c r="AA48" s="622"/>
      <c r="AB48" s="622"/>
      <c r="AC48" s="622"/>
      <c r="AD48" s="622"/>
      <c r="AE48" s="622"/>
      <c r="AF48" s="622"/>
      <c r="AG48" s="622"/>
      <c r="AH48" s="622"/>
      <c r="AI48" s="284"/>
      <c r="AJ48" s="284"/>
      <c r="AK48" s="284"/>
      <c r="AL48" s="284"/>
      <c r="AM48" s="284"/>
      <c r="AN48" s="284"/>
      <c r="AO48" s="284"/>
      <c r="AP48" s="284"/>
      <c r="AQ48" s="285"/>
    </row>
    <row r="49" spans="1:43" s="289" customFormat="1" ht="22.5" customHeight="1">
      <c r="A49" s="615"/>
      <c r="B49" s="616"/>
      <c r="C49" s="616"/>
      <c r="D49" s="616"/>
      <c r="E49" s="616"/>
      <c r="F49" s="616"/>
      <c r="G49" s="616"/>
      <c r="H49" s="616"/>
      <c r="I49" s="616"/>
      <c r="J49" s="616"/>
      <c r="K49" s="616"/>
      <c r="L49" s="616"/>
      <c r="M49" s="616"/>
      <c r="N49" s="616"/>
      <c r="O49" s="616"/>
      <c r="P49" s="616"/>
      <c r="Q49" s="616"/>
      <c r="R49" s="616"/>
      <c r="S49" s="617"/>
      <c r="T49" s="588" t="s">
        <v>282</v>
      </c>
      <c r="U49" s="589"/>
      <c r="V49" s="589"/>
      <c r="W49" s="589"/>
      <c r="X49" s="589"/>
      <c r="Y49" s="589"/>
      <c r="Z49" s="589"/>
      <c r="AA49" s="589"/>
      <c r="AB49" s="589"/>
      <c r="AC49" s="589"/>
      <c r="AD49" s="589"/>
      <c r="AE49" s="589"/>
      <c r="AF49" s="589"/>
      <c r="AG49" s="589"/>
      <c r="AH49" s="589"/>
      <c r="AI49" s="287"/>
      <c r="AJ49" s="287"/>
      <c r="AK49" s="287"/>
      <c r="AL49" s="287"/>
      <c r="AM49" s="287"/>
      <c r="AN49" s="287"/>
      <c r="AO49" s="287"/>
      <c r="AP49" s="287"/>
      <c r="AQ49" s="288"/>
    </row>
    <row r="50" spans="1:43" s="292" customFormat="1" ht="22.5" customHeight="1" thickBot="1">
      <c r="A50" s="618"/>
      <c r="B50" s="619"/>
      <c r="C50" s="619"/>
      <c r="D50" s="619"/>
      <c r="E50" s="619"/>
      <c r="F50" s="619"/>
      <c r="G50" s="619"/>
      <c r="H50" s="619"/>
      <c r="I50" s="619"/>
      <c r="J50" s="619"/>
      <c r="K50" s="619"/>
      <c r="L50" s="619"/>
      <c r="M50" s="619"/>
      <c r="N50" s="619"/>
      <c r="O50" s="619"/>
      <c r="P50" s="619"/>
      <c r="Q50" s="619"/>
      <c r="R50" s="619"/>
      <c r="S50" s="620"/>
      <c r="T50" s="545" t="s">
        <v>40</v>
      </c>
      <c r="U50" s="546"/>
      <c r="V50" s="546"/>
      <c r="W50" s="546"/>
      <c r="X50" s="546"/>
      <c r="Y50" s="546"/>
      <c r="Z50" s="546"/>
      <c r="AA50" s="546"/>
      <c r="AB50" s="546"/>
      <c r="AC50" s="546"/>
      <c r="AD50" s="546"/>
      <c r="AE50" s="546"/>
      <c r="AF50" s="546"/>
      <c r="AG50" s="546"/>
      <c r="AH50" s="546"/>
      <c r="AI50" s="290"/>
      <c r="AJ50" s="290"/>
      <c r="AK50" s="290"/>
      <c r="AL50" s="290"/>
      <c r="AM50" s="290"/>
      <c r="AN50" s="290"/>
      <c r="AO50" s="290"/>
      <c r="AP50" s="290"/>
      <c r="AQ50" s="291"/>
    </row>
    <row r="51" spans="1:43" ht="6.75" customHeight="1" thickBot="1">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94"/>
    </row>
    <row r="52" spans="1:43" ht="14.1" customHeight="1">
      <c r="A52" s="606" t="s">
        <v>376</v>
      </c>
      <c r="B52" s="607"/>
      <c r="C52" s="592">
        <v>15</v>
      </c>
      <c r="D52" s="592"/>
      <c r="E52" s="547" t="s">
        <v>257</v>
      </c>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90"/>
      <c r="AJ52" s="590"/>
      <c r="AK52" s="590"/>
      <c r="AL52" s="590"/>
      <c r="AM52" s="590"/>
      <c r="AN52" s="590"/>
      <c r="AO52" s="590"/>
      <c r="AP52" s="590"/>
      <c r="AQ52" s="591"/>
    </row>
    <row r="53" spans="1:43" ht="14.1" customHeight="1">
      <c r="A53" s="595"/>
      <c r="B53" s="568"/>
      <c r="C53" s="538"/>
      <c r="D53" s="538"/>
      <c r="E53" s="538" t="s">
        <v>258</v>
      </c>
      <c r="F53" s="538"/>
      <c r="G53" s="542" t="s">
        <v>377</v>
      </c>
      <c r="H53" s="542"/>
      <c r="I53" s="542"/>
      <c r="J53" s="542"/>
      <c r="K53" s="542"/>
      <c r="L53" s="542"/>
      <c r="M53" s="542"/>
      <c r="N53" s="542"/>
      <c r="O53" s="542"/>
      <c r="P53" s="542"/>
      <c r="Q53" s="542"/>
      <c r="R53" s="542"/>
      <c r="S53" s="542"/>
      <c r="T53" s="542"/>
      <c r="U53" s="542"/>
      <c r="V53" s="538" t="s">
        <v>378</v>
      </c>
      <c r="W53" s="538"/>
      <c r="X53" s="544">
        <v>0</v>
      </c>
      <c r="Y53" s="544"/>
      <c r="Z53" s="544"/>
      <c r="AA53" s="544"/>
      <c r="AB53" s="544"/>
      <c r="AC53" s="544"/>
      <c r="AD53" s="544"/>
      <c r="AE53" s="544"/>
      <c r="AF53" s="544"/>
      <c r="AG53" s="544"/>
      <c r="AH53" s="544"/>
      <c r="AI53" s="557"/>
      <c r="AJ53" s="557"/>
      <c r="AK53" s="557"/>
      <c r="AL53" s="557"/>
      <c r="AM53" s="557"/>
      <c r="AN53" s="557"/>
      <c r="AO53" s="557"/>
      <c r="AP53" s="557"/>
      <c r="AQ53" s="558"/>
    </row>
    <row r="54" spans="1:43" ht="14.1" customHeight="1">
      <c r="A54" s="595"/>
      <c r="B54" s="568"/>
      <c r="C54" s="538"/>
      <c r="D54" s="538"/>
      <c r="E54" s="538" t="s">
        <v>261</v>
      </c>
      <c r="F54" s="538"/>
      <c r="G54" s="542" t="s">
        <v>379</v>
      </c>
      <c r="H54" s="542"/>
      <c r="I54" s="542"/>
      <c r="J54" s="542"/>
      <c r="K54" s="542"/>
      <c r="L54" s="542"/>
      <c r="M54" s="542"/>
      <c r="N54" s="542"/>
      <c r="O54" s="542"/>
      <c r="P54" s="542"/>
      <c r="Q54" s="542"/>
      <c r="R54" s="542"/>
      <c r="S54" s="542"/>
      <c r="T54" s="542"/>
      <c r="U54" s="542"/>
      <c r="V54" s="538" t="s">
        <v>378</v>
      </c>
      <c r="W54" s="538"/>
      <c r="X54" s="544">
        <v>0</v>
      </c>
      <c r="Y54" s="544"/>
      <c r="Z54" s="544"/>
      <c r="AA54" s="544"/>
      <c r="AB54" s="544"/>
      <c r="AC54" s="544"/>
      <c r="AD54" s="544"/>
      <c r="AE54" s="544"/>
      <c r="AF54" s="544"/>
      <c r="AG54" s="544"/>
      <c r="AH54" s="544"/>
      <c r="AI54" s="557"/>
      <c r="AJ54" s="557"/>
      <c r="AK54" s="557"/>
      <c r="AL54" s="557"/>
      <c r="AM54" s="557"/>
      <c r="AN54" s="557"/>
      <c r="AO54" s="557"/>
      <c r="AP54" s="557"/>
      <c r="AQ54" s="558"/>
    </row>
    <row r="55" spans="1:43" ht="14.1" customHeight="1">
      <c r="A55" s="595"/>
      <c r="B55" s="568"/>
      <c r="C55" s="538"/>
      <c r="D55" s="538"/>
      <c r="E55" s="538" t="s">
        <v>264</v>
      </c>
      <c r="F55" s="538"/>
      <c r="G55" s="542" t="s">
        <v>380</v>
      </c>
      <c r="H55" s="542"/>
      <c r="I55" s="542"/>
      <c r="J55" s="542"/>
      <c r="K55" s="542"/>
      <c r="L55" s="542"/>
      <c r="M55" s="542"/>
      <c r="N55" s="542"/>
      <c r="O55" s="542"/>
      <c r="P55" s="542"/>
      <c r="Q55" s="542"/>
      <c r="R55" s="542"/>
      <c r="S55" s="542"/>
      <c r="T55" s="542"/>
      <c r="U55" s="542"/>
      <c r="V55" s="538" t="s">
        <v>378</v>
      </c>
      <c r="W55" s="538"/>
      <c r="X55" s="544">
        <v>0</v>
      </c>
      <c r="Y55" s="544"/>
      <c r="Z55" s="544"/>
      <c r="AA55" s="544"/>
      <c r="AB55" s="544"/>
      <c r="AC55" s="544"/>
      <c r="AD55" s="544"/>
      <c r="AE55" s="544"/>
      <c r="AF55" s="544"/>
      <c r="AG55" s="544"/>
      <c r="AH55" s="544"/>
      <c r="AI55" s="557"/>
      <c r="AJ55" s="557"/>
      <c r="AK55" s="557"/>
      <c r="AL55" s="557"/>
      <c r="AM55" s="557"/>
      <c r="AN55" s="557"/>
      <c r="AO55" s="557"/>
      <c r="AP55" s="557"/>
      <c r="AQ55" s="558"/>
    </row>
    <row r="56" spans="1:43" ht="14.1" customHeight="1">
      <c r="A56" s="595"/>
      <c r="B56" s="568"/>
      <c r="C56" s="538"/>
      <c r="D56" s="538"/>
      <c r="E56" s="538" t="s">
        <v>267</v>
      </c>
      <c r="F56" s="538"/>
      <c r="G56" s="542" t="s">
        <v>381</v>
      </c>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73" t="s">
        <v>382</v>
      </c>
      <c r="AJ56" s="573"/>
      <c r="AK56" s="571">
        <f>X53+X54+X55</f>
        <v>0</v>
      </c>
      <c r="AL56" s="571"/>
      <c r="AM56" s="571"/>
      <c r="AN56" s="571"/>
      <c r="AO56" s="571"/>
      <c r="AP56" s="571"/>
      <c r="AQ56" s="572"/>
    </row>
    <row r="57" spans="1:43" ht="14.1" customHeight="1">
      <c r="A57" s="595"/>
      <c r="B57" s="568"/>
      <c r="C57" s="538">
        <v>16</v>
      </c>
      <c r="D57" s="538"/>
      <c r="E57" s="542" t="s">
        <v>383</v>
      </c>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73">
        <v>16</v>
      </c>
      <c r="AJ57" s="573"/>
      <c r="AK57" s="538"/>
      <c r="AL57" s="538"/>
      <c r="AM57" s="538"/>
      <c r="AN57" s="538"/>
      <c r="AO57" s="538"/>
      <c r="AP57" s="538"/>
      <c r="AQ57" s="593"/>
    </row>
    <row r="58" spans="1:43" ht="14.1" customHeight="1">
      <c r="A58" s="595" t="s">
        <v>384</v>
      </c>
      <c r="B58" s="568"/>
      <c r="C58" s="538">
        <v>17</v>
      </c>
      <c r="D58" s="538"/>
      <c r="E58" s="542" t="s">
        <v>385</v>
      </c>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73">
        <v>17</v>
      </c>
      <c r="AJ58" s="573"/>
      <c r="AK58" s="538"/>
      <c r="AL58" s="538"/>
      <c r="AM58" s="538"/>
      <c r="AN58" s="538"/>
      <c r="AO58" s="538"/>
      <c r="AP58" s="538"/>
      <c r="AQ58" s="593"/>
    </row>
    <row r="59" spans="1:43" ht="14.1" customHeight="1">
      <c r="A59" s="595"/>
      <c r="B59" s="568"/>
      <c r="C59" s="538">
        <v>18</v>
      </c>
      <c r="D59" s="538"/>
      <c r="E59" s="542" t="s">
        <v>428</v>
      </c>
      <c r="F59" s="542"/>
      <c r="G59" s="542"/>
      <c r="H59" s="542"/>
      <c r="I59" s="542"/>
      <c r="J59" s="542"/>
      <c r="K59" s="542"/>
      <c r="L59" s="542"/>
      <c r="M59" s="542"/>
      <c r="N59" s="542"/>
      <c r="O59" s="542"/>
      <c r="P59" s="542"/>
      <c r="Q59" s="542"/>
      <c r="R59" s="542"/>
      <c r="S59" s="542"/>
      <c r="T59" s="542"/>
      <c r="U59" s="542"/>
      <c r="V59" s="542"/>
      <c r="W59" s="542"/>
      <c r="X59" s="542"/>
      <c r="Y59" s="542"/>
      <c r="Z59" s="542"/>
      <c r="AA59" s="542"/>
      <c r="AB59" s="295"/>
      <c r="AC59" s="295"/>
      <c r="AD59" s="295"/>
      <c r="AE59" s="295"/>
      <c r="AF59" s="295"/>
      <c r="AG59" s="295"/>
      <c r="AH59" s="295"/>
      <c r="AI59" s="295"/>
      <c r="AJ59" s="295"/>
      <c r="AK59" s="295"/>
      <c r="AL59" s="295"/>
      <c r="AM59" s="295"/>
      <c r="AN59" s="295"/>
      <c r="AO59" s="295"/>
      <c r="AP59" s="295"/>
      <c r="AQ59" s="296"/>
    </row>
    <row r="60" spans="1:43" ht="14.1" customHeight="1">
      <c r="A60" s="595"/>
      <c r="B60" s="568"/>
      <c r="C60" s="538">
        <v>19</v>
      </c>
      <c r="D60" s="538"/>
      <c r="E60" s="599" t="s">
        <v>429</v>
      </c>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600"/>
    </row>
    <row r="61" spans="1:43" ht="14.1" customHeight="1">
      <c r="A61" s="595"/>
      <c r="B61" s="568"/>
      <c r="C61" s="538">
        <v>20</v>
      </c>
      <c r="D61" s="538"/>
      <c r="E61" s="542" t="s">
        <v>386</v>
      </c>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542"/>
      <c r="AO61" s="542"/>
      <c r="AP61" s="542"/>
      <c r="AQ61" s="610"/>
    </row>
    <row r="62" spans="1:43" ht="14.1" customHeight="1" thickBot="1">
      <c r="A62" s="596"/>
      <c r="B62" s="597"/>
      <c r="C62" s="611" t="s">
        <v>387</v>
      </c>
      <c r="D62" s="611"/>
      <c r="E62" s="611"/>
      <c r="F62" s="611"/>
      <c r="G62" s="611"/>
      <c r="H62" s="163"/>
      <c r="I62" s="163"/>
      <c r="J62" s="163"/>
      <c r="K62" s="163"/>
      <c r="L62" s="163"/>
      <c r="M62" s="163"/>
      <c r="N62" s="163"/>
      <c r="O62" s="163"/>
      <c r="P62" s="163"/>
      <c r="Q62" s="163"/>
      <c r="R62" s="163"/>
      <c r="S62" s="163"/>
      <c r="T62" s="163"/>
      <c r="U62" s="163"/>
      <c r="V62" s="604" t="s">
        <v>430</v>
      </c>
      <c r="W62" s="604"/>
      <c r="X62" s="604"/>
      <c r="Y62" s="604"/>
      <c r="Z62" s="604"/>
      <c r="AA62" s="604"/>
      <c r="AB62" s="604"/>
      <c r="AC62" s="604"/>
      <c r="AD62" s="604"/>
      <c r="AE62" s="604"/>
      <c r="AF62" s="604"/>
      <c r="AG62" s="604"/>
      <c r="AH62" s="604"/>
      <c r="AI62" s="604"/>
      <c r="AJ62" s="604"/>
      <c r="AK62" s="604"/>
      <c r="AL62" s="604"/>
      <c r="AM62" s="604"/>
      <c r="AN62" s="604"/>
      <c r="AO62" s="604"/>
      <c r="AP62" s="604"/>
      <c r="AQ62" s="605"/>
    </row>
    <row r="63" spans="1:43" ht="8.1" customHeight="1" thickBot="1">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94"/>
    </row>
    <row r="64" spans="1:43" ht="14.1" customHeight="1">
      <c r="A64" s="598">
        <v>21</v>
      </c>
      <c r="B64" s="582"/>
      <c r="C64" s="583"/>
      <c r="D64" s="559" t="s">
        <v>388</v>
      </c>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0"/>
      <c r="AN64" s="560"/>
      <c r="AO64" s="560"/>
      <c r="AP64" s="560"/>
      <c r="AQ64" s="561"/>
    </row>
    <row r="65" spans="1:43" ht="65.099999999999994" customHeight="1">
      <c r="A65" s="601" t="s">
        <v>389</v>
      </c>
      <c r="B65" s="537" t="s">
        <v>390</v>
      </c>
      <c r="C65" s="537"/>
      <c r="D65" s="537" t="s">
        <v>391</v>
      </c>
      <c r="E65" s="537"/>
      <c r="F65" s="537"/>
      <c r="G65" s="537"/>
      <c r="H65" s="537"/>
      <c r="I65" s="537"/>
      <c r="J65" s="537"/>
      <c r="K65" s="537"/>
      <c r="L65" s="537"/>
      <c r="M65" s="537"/>
      <c r="N65" s="537" t="s">
        <v>392</v>
      </c>
      <c r="O65" s="537"/>
      <c r="P65" s="537"/>
      <c r="Q65" s="537"/>
      <c r="R65" s="537"/>
      <c r="S65" s="537" t="s">
        <v>393</v>
      </c>
      <c r="T65" s="537"/>
      <c r="U65" s="537"/>
      <c r="V65" s="537"/>
      <c r="W65" s="537"/>
      <c r="X65" s="537"/>
      <c r="Y65" s="537"/>
      <c r="Z65" s="537"/>
      <c r="AA65" s="537"/>
      <c r="AB65" s="537"/>
      <c r="AC65" s="574" t="s">
        <v>394</v>
      </c>
      <c r="AD65" s="575"/>
      <c r="AE65" s="576"/>
      <c r="AF65" s="574" t="s">
        <v>395</v>
      </c>
      <c r="AG65" s="575"/>
      <c r="AH65" s="576"/>
      <c r="AI65" s="574" t="s">
        <v>396</v>
      </c>
      <c r="AJ65" s="575"/>
      <c r="AK65" s="576"/>
      <c r="AL65" s="574" t="s">
        <v>397</v>
      </c>
      <c r="AM65" s="575"/>
      <c r="AN65" s="576"/>
      <c r="AO65" s="574" t="s">
        <v>431</v>
      </c>
      <c r="AP65" s="575"/>
      <c r="AQ65" s="585"/>
    </row>
    <row r="66" spans="1:43" ht="14.1" customHeight="1">
      <c r="A66" s="602"/>
      <c r="B66" s="577">
        <v>1</v>
      </c>
      <c r="C66" s="577"/>
      <c r="D66" s="577">
        <v>2</v>
      </c>
      <c r="E66" s="577"/>
      <c r="F66" s="577"/>
      <c r="G66" s="577"/>
      <c r="H66" s="577"/>
      <c r="I66" s="577"/>
      <c r="J66" s="577"/>
      <c r="K66" s="577"/>
      <c r="L66" s="577"/>
      <c r="M66" s="577"/>
      <c r="N66" s="577">
        <v>3</v>
      </c>
      <c r="O66" s="577"/>
      <c r="P66" s="577"/>
      <c r="Q66" s="577"/>
      <c r="R66" s="577"/>
      <c r="S66" s="577">
        <v>9</v>
      </c>
      <c r="T66" s="577"/>
      <c r="U66" s="577"/>
      <c r="V66" s="577"/>
      <c r="W66" s="577"/>
      <c r="X66" s="577"/>
      <c r="Y66" s="577"/>
      <c r="Z66" s="577"/>
      <c r="AA66" s="577"/>
      <c r="AB66" s="577"/>
      <c r="AC66" s="577">
        <v>4</v>
      </c>
      <c r="AD66" s="577"/>
      <c r="AE66" s="577"/>
      <c r="AF66" s="577">
        <v>5</v>
      </c>
      <c r="AG66" s="577"/>
      <c r="AH66" s="577"/>
      <c r="AI66" s="577">
        <v>6</v>
      </c>
      <c r="AJ66" s="577"/>
      <c r="AK66" s="577"/>
      <c r="AL66" s="577">
        <v>7</v>
      </c>
      <c r="AM66" s="577"/>
      <c r="AN66" s="577"/>
      <c r="AO66" s="577">
        <v>8</v>
      </c>
      <c r="AP66" s="577"/>
      <c r="AQ66" s="594"/>
    </row>
    <row r="67" spans="1:43" ht="14.1" customHeight="1">
      <c r="A67" s="602"/>
      <c r="B67" s="577" t="s">
        <v>17</v>
      </c>
      <c r="C67" s="577"/>
      <c r="D67" s="160"/>
      <c r="E67" s="160"/>
      <c r="F67" s="160"/>
      <c r="G67" s="160"/>
      <c r="H67" s="160"/>
      <c r="I67" s="160"/>
      <c r="J67" s="160"/>
      <c r="K67" s="160"/>
      <c r="L67" s="160"/>
      <c r="M67" s="160"/>
      <c r="N67" s="578"/>
      <c r="O67" s="578"/>
      <c r="P67" s="578"/>
      <c r="Q67" s="578"/>
      <c r="R67" s="578"/>
      <c r="S67" s="609"/>
      <c r="T67" s="609"/>
      <c r="U67" s="609"/>
      <c r="V67" s="609"/>
      <c r="W67" s="609"/>
      <c r="X67" s="609"/>
      <c r="Y67" s="609"/>
      <c r="Z67" s="609"/>
      <c r="AA67" s="609"/>
      <c r="AB67" s="609"/>
      <c r="AC67" s="562"/>
      <c r="AD67" s="563"/>
      <c r="AE67" s="564"/>
      <c r="AF67" s="562"/>
      <c r="AG67" s="563"/>
      <c r="AH67" s="564"/>
      <c r="AI67" s="562"/>
      <c r="AJ67" s="563"/>
      <c r="AK67" s="564"/>
      <c r="AL67" s="562"/>
      <c r="AM67" s="563"/>
      <c r="AN67" s="564"/>
      <c r="AO67" s="562"/>
      <c r="AP67" s="563"/>
      <c r="AQ67" s="569"/>
    </row>
    <row r="68" spans="1:43" ht="14.1" customHeight="1">
      <c r="A68" s="602"/>
      <c r="B68" s="577"/>
      <c r="C68" s="608"/>
      <c r="D68" s="156" t="str">
        <f>MID(Data!$D$16,1,1)</f>
        <v>V</v>
      </c>
      <c r="E68" s="156" t="str">
        <f>MID(Data!$D$16,2,1)</f>
        <v>P</v>
      </c>
      <c r="F68" s="156" t="str">
        <f>MID(Data!$D$16,3,1)</f>
        <v>N</v>
      </c>
      <c r="G68" s="156" t="str">
        <f>MID(Data!$D$16,4,1)</f>
        <v>Z</v>
      </c>
      <c r="H68" s="156" t="str">
        <f>MID(Data!$D$16,5,1)</f>
        <v>0</v>
      </c>
      <c r="I68" s="156" t="str">
        <f>MID(Data!$D$16,6,1)</f>
        <v>1</v>
      </c>
      <c r="J68" s="156" t="str">
        <f>MID(Data!$D$16,7,1)</f>
        <v>0</v>
      </c>
      <c r="K68" s="156" t="str">
        <f>MID(Data!$D$16,8,1)</f>
        <v>8</v>
      </c>
      <c r="L68" s="156" t="str">
        <f>MID(Data!$D$16,9,1)</f>
        <v>4</v>
      </c>
      <c r="M68" s="156" t="str">
        <f>MID(Data!$D$16,10,1)</f>
        <v>G</v>
      </c>
      <c r="N68" s="578"/>
      <c r="O68" s="578"/>
      <c r="P68" s="578"/>
      <c r="Q68" s="578"/>
      <c r="R68" s="578"/>
      <c r="S68" s="586"/>
      <c r="T68" s="587"/>
      <c r="U68" s="587"/>
      <c r="V68" s="587"/>
      <c r="W68" s="587"/>
      <c r="X68" s="587"/>
      <c r="Y68" s="587"/>
      <c r="Z68" s="587"/>
      <c r="AA68" s="587"/>
      <c r="AB68" s="587"/>
      <c r="AC68" s="562"/>
      <c r="AD68" s="563"/>
      <c r="AE68" s="564"/>
      <c r="AF68" s="562"/>
      <c r="AG68" s="563"/>
      <c r="AH68" s="564"/>
      <c r="AI68" s="562"/>
      <c r="AJ68" s="563"/>
      <c r="AK68" s="564"/>
      <c r="AL68" s="562"/>
      <c r="AM68" s="563"/>
      <c r="AN68" s="564"/>
      <c r="AO68" s="562"/>
      <c r="AP68" s="563"/>
      <c r="AQ68" s="569"/>
    </row>
    <row r="69" spans="1:43" ht="14.1" customHeight="1">
      <c r="A69" s="602"/>
      <c r="B69" s="577" t="s">
        <v>19</v>
      </c>
      <c r="C69" s="577"/>
      <c r="D69" s="297"/>
      <c r="E69" s="297"/>
      <c r="F69" s="297"/>
      <c r="G69" s="297"/>
      <c r="H69" s="297"/>
      <c r="I69" s="297"/>
      <c r="J69" s="297"/>
      <c r="K69" s="297"/>
      <c r="L69" s="297"/>
      <c r="M69" s="297"/>
      <c r="N69" s="578"/>
      <c r="O69" s="578"/>
      <c r="P69" s="578"/>
      <c r="Q69" s="578"/>
      <c r="R69" s="578"/>
      <c r="S69" s="586"/>
      <c r="T69" s="587"/>
      <c r="U69" s="587"/>
      <c r="V69" s="587"/>
      <c r="W69" s="587"/>
      <c r="X69" s="587"/>
      <c r="Y69" s="587"/>
      <c r="Z69" s="587"/>
      <c r="AA69" s="587"/>
      <c r="AB69" s="587"/>
      <c r="AC69" s="562"/>
      <c r="AD69" s="563"/>
      <c r="AE69" s="564"/>
      <c r="AF69" s="562"/>
      <c r="AG69" s="563"/>
      <c r="AH69" s="564"/>
      <c r="AI69" s="562"/>
      <c r="AJ69" s="563"/>
      <c r="AK69" s="564"/>
      <c r="AL69" s="562"/>
      <c r="AM69" s="563"/>
      <c r="AN69" s="564"/>
      <c r="AO69" s="562"/>
      <c r="AP69" s="563"/>
      <c r="AQ69" s="569"/>
    </row>
    <row r="70" spans="1:43" ht="14.1" customHeight="1" thickBot="1">
      <c r="A70" s="603"/>
      <c r="B70" s="580"/>
      <c r="C70" s="580"/>
      <c r="D70" s="157"/>
      <c r="E70" s="158"/>
      <c r="F70" s="159"/>
      <c r="G70" s="159"/>
      <c r="H70" s="157"/>
      <c r="I70" s="159"/>
      <c r="J70" s="157"/>
      <c r="K70" s="158"/>
      <c r="L70" s="158"/>
      <c r="M70" s="159"/>
      <c r="N70" s="579"/>
      <c r="O70" s="579"/>
      <c r="P70" s="579"/>
      <c r="Q70" s="579"/>
      <c r="R70" s="579"/>
      <c r="S70" s="584"/>
      <c r="T70" s="584"/>
      <c r="U70" s="584"/>
      <c r="V70" s="584"/>
      <c r="W70" s="584"/>
      <c r="X70" s="584"/>
      <c r="Y70" s="584"/>
      <c r="Z70" s="584"/>
      <c r="AA70" s="584"/>
      <c r="AB70" s="584"/>
      <c r="AC70" s="565"/>
      <c r="AD70" s="566"/>
      <c r="AE70" s="567"/>
      <c r="AF70" s="565"/>
      <c r="AG70" s="566"/>
      <c r="AH70" s="567"/>
      <c r="AI70" s="565"/>
      <c r="AJ70" s="566"/>
      <c r="AK70" s="567"/>
      <c r="AL70" s="565"/>
      <c r="AM70" s="566"/>
      <c r="AN70" s="567"/>
      <c r="AO70" s="565"/>
      <c r="AP70" s="566"/>
      <c r="AQ70" s="570"/>
    </row>
    <row r="71" spans="1:43" ht="8.1" customHeight="1" thickBot="1">
      <c r="A71" s="293"/>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94"/>
    </row>
    <row r="72" spans="1:43" ht="14.1" customHeight="1" thickBot="1">
      <c r="A72" s="581">
        <v>22</v>
      </c>
      <c r="B72" s="582"/>
      <c r="C72" s="583"/>
      <c r="D72" s="559" t="s">
        <v>398</v>
      </c>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1"/>
    </row>
    <row r="73" spans="1:43" ht="48" customHeight="1">
      <c r="A73" s="709" t="s">
        <v>399</v>
      </c>
      <c r="B73" s="711" t="s">
        <v>390</v>
      </c>
      <c r="C73" s="711"/>
      <c r="D73" s="537" t="s">
        <v>400</v>
      </c>
      <c r="E73" s="537"/>
      <c r="F73" s="537"/>
      <c r="G73" s="537"/>
      <c r="H73" s="537"/>
      <c r="I73" s="537"/>
      <c r="J73" s="537"/>
      <c r="K73" s="537"/>
      <c r="L73" s="537"/>
      <c r="M73" s="537"/>
      <c r="N73" s="537" t="s">
        <v>392</v>
      </c>
      <c r="O73" s="537"/>
      <c r="P73" s="537"/>
      <c r="Q73" s="537"/>
      <c r="R73" s="537"/>
      <c r="S73" s="537" t="s">
        <v>401</v>
      </c>
      <c r="T73" s="537"/>
      <c r="U73" s="537"/>
      <c r="V73" s="537"/>
      <c r="W73" s="537"/>
      <c r="X73" s="537"/>
      <c r="Y73" s="537"/>
      <c r="Z73" s="537"/>
      <c r="AA73" s="537"/>
      <c r="AB73" s="568" t="s">
        <v>402</v>
      </c>
      <c r="AC73" s="568"/>
      <c r="AD73" s="568"/>
      <c r="AE73" s="568"/>
      <c r="AF73" s="568" t="s">
        <v>403</v>
      </c>
      <c r="AG73" s="568"/>
      <c r="AH73" s="568"/>
      <c r="AI73" s="568"/>
      <c r="AJ73" s="568" t="s">
        <v>397</v>
      </c>
      <c r="AK73" s="568"/>
      <c r="AL73" s="568"/>
      <c r="AM73" s="568"/>
      <c r="AN73" s="575" t="s">
        <v>404</v>
      </c>
      <c r="AO73" s="575"/>
      <c r="AP73" s="575"/>
      <c r="AQ73" s="585"/>
    </row>
    <row r="74" spans="1:43" ht="14.1" customHeight="1">
      <c r="A74" s="602"/>
      <c r="B74" s="577">
        <v>1</v>
      </c>
      <c r="C74" s="577"/>
      <c r="D74" s="577">
        <v>2</v>
      </c>
      <c r="E74" s="577"/>
      <c r="F74" s="577"/>
      <c r="G74" s="577"/>
      <c r="H74" s="577"/>
      <c r="I74" s="577"/>
      <c r="J74" s="577"/>
      <c r="K74" s="577"/>
      <c r="L74" s="577"/>
      <c r="M74" s="577"/>
      <c r="N74" s="577">
        <v>3</v>
      </c>
      <c r="O74" s="577"/>
      <c r="P74" s="577"/>
      <c r="Q74" s="577"/>
      <c r="R74" s="577"/>
      <c r="S74" s="577">
        <v>9</v>
      </c>
      <c r="T74" s="577"/>
      <c r="U74" s="577"/>
      <c r="V74" s="577"/>
      <c r="W74" s="577"/>
      <c r="X74" s="577"/>
      <c r="Y74" s="577"/>
      <c r="Z74" s="577"/>
      <c r="AA74" s="577"/>
      <c r="AB74" s="577">
        <v>4</v>
      </c>
      <c r="AC74" s="577"/>
      <c r="AD74" s="577"/>
      <c r="AE74" s="577"/>
      <c r="AF74" s="577">
        <v>5</v>
      </c>
      <c r="AG74" s="577"/>
      <c r="AH74" s="577"/>
      <c r="AI74" s="577"/>
      <c r="AJ74" s="577">
        <v>6</v>
      </c>
      <c r="AK74" s="577"/>
      <c r="AL74" s="577"/>
      <c r="AM74" s="577"/>
      <c r="AN74" s="577">
        <v>7</v>
      </c>
      <c r="AO74" s="577"/>
      <c r="AP74" s="577"/>
      <c r="AQ74" s="594"/>
    </row>
    <row r="75" spans="1:43" ht="14.1" customHeight="1">
      <c r="A75" s="602"/>
      <c r="B75" s="577" t="s">
        <v>17</v>
      </c>
      <c r="C75" s="577"/>
      <c r="D75" s="160"/>
      <c r="E75" s="160"/>
      <c r="F75" s="160"/>
      <c r="G75" s="160"/>
      <c r="H75" s="160"/>
      <c r="I75" s="160"/>
      <c r="J75" s="160"/>
      <c r="K75" s="160"/>
      <c r="L75" s="160"/>
      <c r="M75" s="160"/>
      <c r="N75" s="695"/>
      <c r="O75" s="695"/>
      <c r="P75" s="695"/>
      <c r="Q75" s="695"/>
      <c r="R75" s="695"/>
      <c r="S75" s="587"/>
      <c r="T75" s="587"/>
      <c r="U75" s="587"/>
      <c r="V75" s="587"/>
      <c r="W75" s="587"/>
      <c r="X75" s="587"/>
      <c r="Y75" s="587"/>
      <c r="Z75" s="587"/>
      <c r="AA75" s="587"/>
      <c r="AB75" s="548"/>
      <c r="AC75" s="549"/>
      <c r="AD75" s="549"/>
      <c r="AE75" s="549"/>
      <c r="AF75" s="548"/>
      <c r="AG75" s="549"/>
      <c r="AH75" s="549"/>
      <c r="AI75" s="549"/>
      <c r="AJ75" s="548"/>
      <c r="AK75" s="549"/>
      <c r="AL75" s="549"/>
      <c r="AM75" s="549"/>
      <c r="AN75" s="548"/>
      <c r="AO75" s="549"/>
      <c r="AP75" s="549"/>
      <c r="AQ75" s="692"/>
    </row>
    <row r="76" spans="1:43" ht="14.1" customHeight="1">
      <c r="A76" s="602"/>
      <c r="B76" s="577"/>
      <c r="C76" s="577"/>
      <c r="D76" s="161"/>
      <c r="E76" s="162"/>
      <c r="F76" s="162"/>
      <c r="G76" s="162"/>
      <c r="H76" s="162"/>
      <c r="I76" s="263"/>
      <c r="J76" s="161"/>
      <c r="K76" s="162"/>
      <c r="L76" s="162"/>
      <c r="M76" s="263"/>
      <c r="N76" s="695"/>
      <c r="O76" s="695"/>
      <c r="P76" s="695"/>
      <c r="Q76" s="695"/>
      <c r="R76" s="695"/>
      <c r="S76" s="587"/>
      <c r="T76" s="587"/>
      <c r="U76" s="587"/>
      <c r="V76" s="587"/>
      <c r="W76" s="587"/>
      <c r="X76" s="587"/>
      <c r="Y76" s="587"/>
      <c r="Z76" s="587"/>
      <c r="AA76" s="587"/>
      <c r="AB76" s="690"/>
      <c r="AC76" s="691"/>
      <c r="AD76" s="691"/>
      <c r="AE76" s="691"/>
      <c r="AF76" s="690"/>
      <c r="AG76" s="691"/>
      <c r="AH76" s="691"/>
      <c r="AI76" s="691"/>
      <c r="AJ76" s="690"/>
      <c r="AK76" s="691"/>
      <c r="AL76" s="691"/>
      <c r="AM76" s="691"/>
      <c r="AN76" s="690"/>
      <c r="AO76" s="691"/>
      <c r="AP76" s="691"/>
      <c r="AQ76" s="693"/>
    </row>
    <row r="77" spans="1:43" ht="14.1" customHeight="1">
      <c r="A77" s="602"/>
      <c r="B77" s="577" t="s">
        <v>19</v>
      </c>
      <c r="C77" s="577"/>
      <c r="D77" s="160"/>
      <c r="E77" s="160"/>
      <c r="F77" s="160"/>
      <c r="G77" s="160"/>
      <c r="H77" s="160"/>
      <c r="I77" s="160"/>
      <c r="J77" s="160"/>
      <c r="K77" s="160"/>
      <c r="L77" s="160"/>
      <c r="M77" s="160"/>
      <c r="N77" s="695"/>
      <c r="O77" s="695"/>
      <c r="P77" s="695"/>
      <c r="Q77" s="695"/>
      <c r="R77" s="695"/>
      <c r="S77" s="587"/>
      <c r="T77" s="587"/>
      <c r="U77" s="587"/>
      <c r="V77" s="587"/>
      <c r="W77" s="587"/>
      <c r="X77" s="587"/>
      <c r="Y77" s="587"/>
      <c r="Z77" s="587"/>
      <c r="AA77" s="587"/>
      <c r="AB77" s="548"/>
      <c r="AC77" s="549"/>
      <c r="AD77" s="549"/>
      <c r="AE77" s="549"/>
      <c r="AF77" s="548"/>
      <c r="AG77" s="549"/>
      <c r="AH77" s="549"/>
      <c r="AI77" s="549"/>
      <c r="AJ77" s="548"/>
      <c r="AK77" s="549"/>
      <c r="AL77" s="549"/>
      <c r="AM77" s="549"/>
      <c r="AN77" s="548"/>
      <c r="AO77" s="549"/>
      <c r="AP77" s="549"/>
      <c r="AQ77" s="692"/>
    </row>
    <row r="78" spans="1:43" ht="14.1" customHeight="1">
      <c r="A78" s="602"/>
      <c r="B78" s="577"/>
      <c r="C78" s="577"/>
      <c r="D78" s="161"/>
      <c r="E78" s="162"/>
      <c r="F78" s="162"/>
      <c r="G78" s="162"/>
      <c r="H78" s="162"/>
      <c r="I78" s="263"/>
      <c r="J78" s="161"/>
      <c r="K78" s="162"/>
      <c r="L78" s="162"/>
      <c r="M78" s="263"/>
      <c r="N78" s="695"/>
      <c r="O78" s="695"/>
      <c r="P78" s="695"/>
      <c r="Q78" s="695"/>
      <c r="R78" s="695"/>
      <c r="S78" s="587"/>
      <c r="T78" s="587"/>
      <c r="U78" s="587"/>
      <c r="V78" s="587"/>
      <c r="W78" s="587"/>
      <c r="X78" s="587"/>
      <c r="Y78" s="587"/>
      <c r="Z78" s="587"/>
      <c r="AA78" s="587"/>
      <c r="AB78" s="690"/>
      <c r="AC78" s="691"/>
      <c r="AD78" s="691"/>
      <c r="AE78" s="691"/>
      <c r="AF78" s="690"/>
      <c r="AG78" s="691"/>
      <c r="AH78" s="691"/>
      <c r="AI78" s="691"/>
      <c r="AJ78" s="690"/>
      <c r="AK78" s="691"/>
      <c r="AL78" s="691"/>
      <c r="AM78" s="691"/>
      <c r="AN78" s="690"/>
      <c r="AO78" s="691"/>
      <c r="AP78" s="691"/>
      <c r="AQ78" s="693"/>
    </row>
    <row r="79" spans="1:43" ht="14.1" customHeight="1">
      <c r="A79" s="602"/>
      <c r="B79" s="577" t="s">
        <v>20</v>
      </c>
      <c r="C79" s="577"/>
      <c r="D79" s="160"/>
      <c r="E79" s="160"/>
      <c r="F79" s="160"/>
      <c r="G79" s="160"/>
      <c r="H79" s="160"/>
      <c r="I79" s="160"/>
      <c r="J79" s="160"/>
      <c r="K79" s="160"/>
      <c r="L79" s="160"/>
      <c r="M79" s="160"/>
      <c r="N79" s="695"/>
      <c r="O79" s="695"/>
      <c r="P79" s="695"/>
      <c r="Q79" s="695"/>
      <c r="R79" s="695"/>
      <c r="S79" s="587"/>
      <c r="T79" s="587"/>
      <c r="U79" s="587"/>
      <c r="V79" s="587"/>
      <c r="W79" s="587"/>
      <c r="X79" s="587"/>
      <c r="Y79" s="587"/>
      <c r="Z79" s="587"/>
      <c r="AA79" s="587"/>
      <c r="AB79" s="548"/>
      <c r="AC79" s="549"/>
      <c r="AD79" s="549"/>
      <c r="AE79" s="549"/>
      <c r="AF79" s="548"/>
      <c r="AG79" s="549"/>
      <c r="AH79" s="549"/>
      <c r="AI79" s="549"/>
      <c r="AJ79" s="548"/>
      <c r="AK79" s="549"/>
      <c r="AL79" s="549"/>
      <c r="AM79" s="549"/>
      <c r="AN79" s="548"/>
      <c r="AO79" s="549"/>
      <c r="AP79" s="549"/>
      <c r="AQ79" s="692"/>
    </row>
    <row r="80" spans="1:43" ht="14.1" customHeight="1" thickBot="1">
      <c r="A80" s="602"/>
      <c r="B80" s="577"/>
      <c r="C80" s="577"/>
      <c r="D80" s="161"/>
      <c r="E80" s="162"/>
      <c r="F80" s="162"/>
      <c r="G80" s="162"/>
      <c r="H80" s="162"/>
      <c r="I80" s="263"/>
      <c r="J80" s="161"/>
      <c r="K80" s="162"/>
      <c r="L80" s="162"/>
      <c r="M80" s="263"/>
      <c r="N80" s="695"/>
      <c r="O80" s="695"/>
      <c r="P80" s="695"/>
      <c r="Q80" s="695"/>
      <c r="R80" s="695"/>
      <c r="S80" s="587"/>
      <c r="T80" s="587"/>
      <c r="U80" s="587"/>
      <c r="V80" s="587"/>
      <c r="W80" s="587"/>
      <c r="X80" s="587"/>
      <c r="Y80" s="587"/>
      <c r="Z80" s="587"/>
      <c r="AA80" s="587"/>
      <c r="AB80" s="550"/>
      <c r="AC80" s="551"/>
      <c r="AD80" s="551"/>
      <c r="AE80" s="551"/>
      <c r="AF80" s="550"/>
      <c r="AG80" s="551"/>
      <c r="AH80" s="551"/>
      <c r="AI80" s="551"/>
      <c r="AJ80" s="550"/>
      <c r="AK80" s="551"/>
      <c r="AL80" s="551"/>
      <c r="AM80" s="551"/>
      <c r="AN80" s="550"/>
      <c r="AO80" s="551"/>
      <c r="AP80" s="551"/>
      <c r="AQ80" s="694"/>
    </row>
    <row r="81" spans="1:43" ht="14.1" customHeight="1" thickBot="1">
      <c r="A81" s="710"/>
      <c r="B81" s="700" t="s">
        <v>405</v>
      </c>
      <c r="C81" s="701"/>
      <c r="D81" s="702"/>
      <c r="E81" s="702"/>
      <c r="F81" s="703"/>
      <c r="G81" s="687" t="s">
        <v>406</v>
      </c>
      <c r="H81" s="688"/>
      <c r="I81" s="688"/>
      <c r="J81" s="688"/>
      <c r="K81" s="688"/>
      <c r="L81" s="688"/>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688"/>
      <c r="AJ81" s="688"/>
      <c r="AK81" s="688"/>
      <c r="AL81" s="688"/>
      <c r="AM81" s="688"/>
      <c r="AN81" s="688"/>
      <c r="AO81" s="688"/>
      <c r="AP81" s="688"/>
      <c r="AQ81" s="689"/>
    </row>
    <row r="82" spans="1:43" ht="8.1" customHeight="1" thickBot="1"/>
    <row r="83" spans="1:43" ht="14.1" customHeight="1">
      <c r="A83" s="707">
        <v>23</v>
      </c>
      <c r="B83" s="708"/>
      <c r="C83" s="704" t="s">
        <v>407</v>
      </c>
      <c r="D83" s="705"/>
      <c r="E83" s="705"/>
      <c r="F83" s="705"/>
      <c r="G83" s="705"/>
      <c r="H83" s="705"/>
      <c r="I83" s="705"/>
      <c r="J83" s="705"/>
      <c r="K83" s="705"/>
      <c r="L83" s="705"/>
      <c r="M83" s="705"/>
      <c r="N83" s="705"/>
      <c r="O83" s="705"/>
      <c r="P83" s="705"/>
      <c r="Q83" s="705"/>
      <c r="R83" s="705"/>
      <c r="S83" s="705"/>
      <c r="T83" s="705"/>
      <c r="U83" s="705"/>
      <c r="V83" s="705"/>
      <c r="W83" s="705"/>
      <c r="X83" s="705"/>
      <c r="Y83" s="705"/>
      <c r="Z83" s="705"/>
      <c r="AA83" s="705"/>
      <c r="AB83" s="705"/>
      <c r="AC83" s="705"/>
      <c r="AD83" s="705"/>
      <c r="AE83" s="705"/>
      <c r="AF83" s="705"/>
      <c r="AG83" s="705"/>
      <c r="AH83" s="705"/>
      <c r="AI83" s="705"/>
      <c r="AJ83" s="705"/>
      <c r="AK83" s="705"/>
      <c r="AL83" s="705"/>
      <c r="AM83" s="705"/>
      <c r="AN83" s="705"/>
      <c r="AO83" s="705"/>
      <c r="AP83" s="705"/>
      <c r="AQ83" s="706"/>
    </row>
    <row r="84" spans="1:43" ht="41.25" customHeight="1">
      <c r="A84" s="719" t="s">
        <v>408</v>
      </c>
      <c r="B84" s="577" t="s">
        <v>390</v>
      </c>
      <c r="C84" s="577"/>
      <c r="D84" s="608" t="s">
        <v>409</v>
      </c>
      <c r="E84" s="717"/>
      <c r="F84" s="717"/>
      <c r="G84" s="717"/>
      <c r="H84" s="717"/>
      <c r="I84" s="717"/>
      <c r="J84" s="717"/>
      <c r="K84" s="552" t="s">
        <v>410</v>
      </c>
      <c r="L84" s="553"/>
      <c r="M84" s="553"/>
      <c r="N84" s="553"/>
      <c r="O84" s="553"/>
      <c r="P84" s="553"/>
      <c r="Q84" s="553"/>
      <c r="R84" s="553"/>
      <c r="S84" s="553"/>
      <c r="T84" s="553"/>
      <c r="U84" s="553"/>
      <c r="V84" s="553"/>
      <c r="W84" s="553"/>
      <c r="X84" s="554"/>
      <c r="Y84" s="699" t="s">
        <v>411</v>
      </c>
      <c r="Z84" s="699"/>
      <c r="AA84" s="699"/>
      <c r="AB84" s="699"/>
      <c r="AC84" s="552" t="s">
        <v>412</v>
      </c>
      <c r="AD84" s="553"/>
      <c r="AE84" s="553"/>
      <c r="AF84" s="553"/>
      <c r="AG84" s="553"/>
      <c r="AH84" s="553"/>
      <c r="AI84" s="553"/>
      <c r="AJ84" s="553"/>
      <c r="AK84" s="553"/>
      <c r="AL84" s="554"/>
      <c r="AM84" s="552" t="s">
        <v>413</v>
      </c>
      <c r="AN84" s="553"/>
      <c r="AO84" s="553"/>
      <c r="AP84" s="553"/>
      <c r="AQ84" s="714"/>
    </row>
    <row r="85" spans="1:43" ht="14.1" customHeight="1">
      <c r="A85" s="719"/>
      <c r="B85" s="577" t="s">
        <v>17</v>
      </c>
      <c r="C85" s="577"/>
      <c r="D85" s="698"/>
      <c r="E85" s="667"/>
      <c r="F85" s="667"/>
      <c r="G85" s="667"/>
      <c r="H85" s="667"/>
      <c r="I85" s="667"/>
      <c r="J85" s="667"/>
      <c r="K85" s="716"/>
      <c r="L85" s="697"/>
      <c r="M85" s="696"/>
      <c r="N85" s="697"/>
      <c r="O85" s="696"/>
      <c r="P85" s="697"/>
      <c r="Q85" s="696"/>
      <c r="R85" s="697"/>
      <c r="S85" s="696"/>
      <c r="T85" s="697"/>
      <c r="U85" s="696"/>
      <c r="V85" s="697"/>
      <c r="W85" s="696"/>
      <c r="X85" s="697"/>
      <c r="Y85" s="715"/>
      <c r="Z85" s="715"/>
      <c r="AA85" s="715"/>
      <c r="AB85" s="715"/>
      <c r="AC85" s="712"/>
      <c r="AD85" s="713"/>
      <c r="AE85" s="712"/>
      <c r="AF85" s="713"/>
      <c r="AG85" s="712"/>
      <c r="AH85" s="713"/>
      <c r="AI85" s="712"/>
      <c r="AJ85" s="713"/>
      <c r="AK85" s="712"/>
      <c r="AL85" s="713"/>
      <c r="AM85" s="552"/>
      <c r="AN85" s="553"/>
      <c r="AO85" s="553"/>
      <c r="AP85" s="553"/>
      <c r="AQ85" s="714"/>
    </row>
    <row r="86" spans="1:43" ht="14.1" customHeight="1">
      <c r="A86" s="719"/>
      <c r="B86" s="577" t="s">
        <v>19</v>
      </c>
      <c r="C86" s="577"/>
      <c r="D86" s="698"/>
      <c r="E86" s="667"/>
      <c r="F86" s="667"/>
      <c r="G86" s="667"/>
      <c r="H86" s="667"/>
      <c r="I86" s="667"/>
      <c r="J86" s="667"/>
      <c r="K86" s="716"/>
      <c r="L86" s="697"/>
      <c r="M86" s="696"/>
      <c r="N86" s="697"/>
      <c r="O86" s="696"/>
      <c r="P86" s="697"/>
      <c r="Q86" s="696"/>
      <c r="R86" s="697"/>
      <c r="S86" s="696"/>
      <c r="T86" s="697"/>
      <c r="U86" s="696"/>
      <c r="V86" s="697"/>
      <c r="W86" s="696"/>
      <c r="X86" s="697"/>
      <c r="Y86" s="715"/>
      <c r="Z86" s="715"/>
      <c r="AA86" s="715"/>
      <c r="AB86" s="715"/>
      <c r="AC86" s="712"/>
      <c r="AD86" s="713"/>
      <c r="AE86" s="712"/>
      <c r="AF86" s="713"/>
      <c r="AG86" s="712"/>
      <c r="AH86" s="713"/>
      <c r="AI86" s="712"/>
      <c r="AJ86" s="713"/>
      <c r="AK86" s="712"/>
      <c r="AL86" s="713"/>
      <c r="AM86" s="552"/>
      <c r="AN86" s="553"/>
      <c r="AO86" s="553"/>
      <c r="AP86" s="553"/>
      <c r="AQ86" s="714"/>
    </row>
    <row r="87" spans="1:43" ht="14.1" customHeight="1">
      <c r="A87" s="719"/>
      <c r="B87" s="577" t="s">
        <v>20</v>
      </c>
      <c r="C87" s="577"/>
      <c r="D87" s="698"/>
      <c r="E87" s="667"/>
      <c r="F87" s="667"/>
      <c r="G87" s="667"/>
      <c r="H87" s="667"/>
      <c r="I87" s="667"/>
      <c r="J87" s="667"/>
      <c r="K87" s="716"/>
      <c r="L87" s="697"/>
      <c r="M87" s="696"/>
      <c r="N87" s="697"/>
      <c r="O87" s="696"/>
      <c r="P87" s="697"/>
      <c r="Q87" s="696"/>
      <c r="R87" s="697"/>
      <c r="S87" s="696"/>
      <c r="T87" s="697"/>
      <c r="U87" s="696"/>
      <c r="V87" s="697"/>
      <c r="W87" s="696"/>
      <c r="X87" s="697"/>
      <c r="Y87" s="715"/>
      <c r="Z87" s="715"/>
      <c r="AA87" s="715"/>
      <c r="AB87" s="715"/>
      <c r="AC87" s="712"/>
      <c r="AD87" s="713"/>
      <c r="AE87" s="712"/>
      <c r="AF87" s="713"/>
      <c r="AG87" s="712"/>
      <c r="AH87" s="713"/>
      <c r="AI87" s="712"/>
      <c r="AJ87" s="713"/>
      <c r="AK87" s="712"/>
      <c r="AL87" s="713"/>
      <c r="AM87" s="552"/>
      <c r="AN87" s="553"/>
      <c r="AO87" s="553"/>
      <c r="AP87" s="553"/>
      <c r="AQ87" s="714"/>
    </row>
    <row r="88" spans="1:43" ht="14.1" customHeight="1">
      <c r="A88" s="719"/>
      <c r="B88" s="577" t="s">
        <v>21</v>
      </c>
      <c r="C88" s="577"/>
      <c r="D88" s="698"/>
      <c r="E88" s="667"/>
      <c r="F88" s="667"/>
      <c r="G88" s="667"/>
      <c r="H88" s="667"/>
      <c r="I88" s="667"/>
      <c r="J88" s="667"/>
      <c r="K88" s="716"/>
      <c r="L88" s="697"/>
      <c r="M88" s="696"/>
      <c r="N88" s="697"/>
      <c r="O88" s="696"/>
      <c r="P88" s="697"/>
      <c r="Q88" s="696"/>
      <c r="R88" s="697"/>
      <c r="S88" s="696"/>
      <c r="T88" s="697"/>
      <c r="U88" s="696"/>
      <c r="V88" s="697"/>
      <c r="W88" s="696"/>
      <c r="X88" s="697"/>
      <c r="Y88" s="715"/>
      <c r="Z88" s="715"/>
      <c r="AA88" s="715"/>
      <c r="AB88" s="715"/>
      <c r="AC88" s="712"/>
      <c r="AD88" s="713"/>
      <c r="AE88" s="712"/>
      <c r="AF88" s="713"/>
      <c r="AG88" s="712"/>
      <c r="AH88" s="713"/>
      <c r="AI88" s="712"/>
      <c r="AJ88" s="713"/>
      <c r="AK88" s="712"/>
      <c r="AL88" s="713"/>
      <c r="AM88" s="552"/>
      <c r="AN88" s="553"/>
      <c r="AO88" s="553"/>
      <c r="AP88" s="553"/>
      <c r="AQ88" s="714"/>
    </row>
    <row r="89" spans="1:43" ht="14.1" customHeight="1">
      <c r="A89" s="719"/>
      <c r="B89" s="577" t="s">
        <v>23</v>
      </c>
      <c r="C89" s="577"/>
      <c r="D89" s="698"/>
      <c r="E89" s="667"/>
      <c r="F89" s="667"/>
      <c r="G89" s="667"/>
      <c r="H89" s="667"/>
      <c r="I89" s="667"/>
      <c r="J89" s="667"/>
      <c r="K89" s="716"/>
      <c r="L89" s="697"/>
      <c r="M89" s="696"/>
      <c r="N89" s="697"/>
      <c r="O89" s="696"/>
      <c r="P89" s="697"/>
      <c r="Q89" s="696"/>
      <c r="R89" s="697"/>
      <c r="S89" s="696"/>
      <c r="T89" s="697"/>
      <c r="U89" s="696"/>
      <c r="V89" s="697"/>
      <c r="W89" s="696"/>
      <c r="X89" s="697"/>
      <c r="Y89" s="715"/>
      <c r="Z89" s="715"/>
      <c r="AA89" s="715"/>
      <c r="AB89" s="715"/>
      <c r="AC89" s="712"/>
      <c r="AD89" s="713"/>
      <c r="AE89" s="712"/>
      <c r="AF89" s="713"/>
      <c r="AG89" s="712"/>
      <c r="AH89" s="713"/>
      <c r="AI89" s="712"/>
      <c r="AJ89" s="713"/>
      <c r="AK89" s="712"/>
      <c r="AL89" s="713"/>
      <c r="AM89" s="552"/>
      <c r="AN89" s="553"/>
      <c r="AO89" s="553"/>
      <c r="AP89" s="553"/>
      <c r="AQ89" s="714"/>
    </row>
    <row r="90" spans="1:43" ht="14.1" customHeight="1" thickBot="1">
      <c r="A90" s="720"/>
      <c r="B90" s="721" t="s">
        <v>405</v>
      </c>
      <c r="C90" s="721"/>
      <c r="D90" s="721"/>
      <c r="E90" s="724" t="s">
        <v>414</v>
      </c>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4"/>
      <c r="AF90" s="724"/>
      <c r="AG90" s="724"/>
      <c r="AH90" s="724"/>
      <c r="AI90" s="724"/>
      <c r="AJ90" s="724"/>
      <c r="AK90" s="724"/>
      <c r="AL90" s="724"/>
      <c r="AM90" s="724"/>
      <c r="AN90" s="724"/>
      <c r="AO90" s="724"/>
      <c r="AP90" s="724"/>
      <c r="AQ90" s="725"/>
    </row>
    <row r="91" spans="1:43" ht="8.1" customHeight="1" thickBot="1"/>
    <row r="92" spans="1:43" ht="14.1" customHeight="1">
      <c r="A92" s="722">
        <v>24</v>
      </c>
      <c r="B92" s="723"/>
      <c r="C92" s="559" t="s">
        <v>415</v>
      </c>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560"/>
      <c r="AH92" s="560"/>
      <c r="AI92" s="560"/>
      <c r="AJ92" s="560"/>
      <c r="AK92" s="560"/>
      <c r="AL92" s="560"/>
      <c r="AM92" s="560"/>
      <c r="AN92" s="560"/>
      <c r="AO92" s="560"/>
      <c r="AP92" s="560"/>
      <c r="AQ92" s="561"/>
    </row>
    <row r="93" spans="1:43" ht="14.1" customHeight="1">
      <c r="A93" s="718" t="s">
        <v>416</v>
      </c>
      <c r="B93" s="577"/>
      <c r="C93" s="577" t="s">
        <v>417</v>
      </c>
      <c r="D93" s="577"/>
      <c r="E93" s="577"/>
      <c r="F93" s="577"/>
      <c r="G93" s="577" t="s">
        <v>413</v>
      </c>
      <c r="H93" s="577"/>
      <c r="I93" s="577"/>
      <c r="J93" s="577"/>
      <c r="K93" s="577"/>
      <c r="L93" s="577"/>
      <c r="M93" s="577"/>
      <c r="N93" s="577"/>
      <c r="O93" s="577" t="s">
        <v>416</v>
      </c>
      <c r="P93" s="577"/>
      <c r="Q93" s="577" t="s">
        <v>417</v>
      </c>
      <c r="R93" s="577"/>
      <c r="S93" s="577"/>
      <c r="T93" s="577"/>
      <c r="U93" s="577" t="s">
        <v>413</v>
      </c>
      <c r="V93" s="577"/>
      <c r="W93" s="577"/>
      <c r="X93" s="577"/>
      <c r="Y93" s="577"/>
      <c r="Z93" s="577"/>
      <c r="AA93" s="577"/>
      <c r="AB93" s="577"/>
      <c r="AC93" s="577"/>
      <c r="AD93" s="577" t="s">
        <v>416</v>
      </c>
      <c r="AE93" s="577"/>
      <c r="AF93" s="577" t="s">
        <v>417</v>
      </c>
      <c r="AG93" s="577"/>
      <c r="AH93" s="577"/>
      <c r="AI93" s="577"/>
      <c r="AJ93" s="577" t="s">
        <v>413</v>
      </c>
      <c r="AK93" s="577"/>
      <c r="AL93" s="577"/>
      <c r="AM93" s="577"/>
      <c r="AN93" s="577"/>
      <c r="AO93" s="577"/>
      <c r="AP93" s="577"/>
      <c r="AQ93" s="594"/>
    </row>
    <row r="94" spans="1:43" ht="14.1" customHeight="1">
      <c r="A94" s="718" t="s">
        <v>258</v>
      </c>
      <c r="B94" s="577"/>
      <c r="C94" s="537">
        <v>1</v>
      </c>
      <c r="D94" s="537"/>
      <c r="E94" s="537"/>
      <c r="F94" s="537"/>
      <c r="G94" s="715"/>
      <c r="H94" s="715"/>
      <c r="I94" s="715"/>
      <c r="J94" s="715"/>
      <c r="K94" s="715"/>
      <c r="L94" s="715"/>
      <c r="M94" s="715"/>
      <c r="N94" s="715"/>
      <c r="O94" s="577" t="s">
        <v>267</v>
      </c>
      <c r="P94" s="577"/>
      <c r="Q94" s="537">
        <v>4</v>
      </c>
      <c r="R94" s="537"/>
      <c r="S94" s="537"/>
      <c r="T94" s="537"/>
      <c r="U94" s="577"/>
      <c r="V94" s="577"/>
      <c r="W94" s="577"/>
      <c r="X94" s="577"/>
      <c r="Y94" s="577"/>
      <c r="Z94" s="577"/>
      <c r="AA94" s="577"/>
      <c r="AB94" s="577"/>
      <c r="AC94" s="577"/>
      <c r="AD94" s="577" t="s">
        <v>323</v>
      </c>
      <c r="AE94" s="577"/>
      <c r="AF94" s="537">
        <v>7</v>
      </c>
      <c r="AG94" s="537"/>
      <c r="AH94" s="537"/>
      <c r="AI94" s="537"/>
      <c r="AJ94" s="715"/>
      <c r="AK94" s="715"/>
      <c r="AL94" s="715"/>
      <c r="AM94" s="715"/>
      <c r="AN94" s="715"/>
      <c r="AO94" s="715"/>
      <c r="AP94" s="715"/>
      <c r="AQ94" s="726"/>
    </row>
    <row r="95" spans="1:43" ht="14.1" customHeight="1">
      <c r="A95" s="718" t="s">
        <v>261</v>
      </c>
      <c r="B95" s="577"/>
      <c r="C95" s="537">
        <v>2</v>
      </c>
      <c r="D95" s="537"/>
      <c r="E95" s="537"/>
      <c r="F95" s="537"/>
      <c r="G95" s="715"/>
      <c r="H95" s="715"/>
      <c r="I95" s="715"/>
      <c r="J95" s="715"/>
      <c r="K95" s="715"/>
      <c r="L95" s="715"/>
      <c r="M95" s="715"/>
      <c r="N95" s="715"/>
      <c r="O95" s="577" t="s">
        <v>270</v>
      </c>
      <c r="P95" s="577"/>
      <c r="Q95" s="537">
        <v>5</v>
      </c>
      <c r="R95" s="537"/>
      <c r="S95" s="537"/>
      <c r="T95" s="537"/>
      <c r="U95" s="577"/>
      <c r="V95" s="577"/>
      <c r="W95" s="577"/>
      <c r="X95" s="577"/>
      <c r="Y95" s="577"/>
      <c r="Z95" s="577"/>
      <c r="AA95" s="577"/>
      <c r="AB95" s="577"/>
      <c r="AC95" s="577"/>
      <c r="AD95" s="577" t="s">
        <v>328</v>
      </c>
      <c r="AE95" s="577"/>
      <c r="AF95" s="537">
        <v>8</v>
      </c>
      <c r="AG95" s="537"/>
      <c r="AH95" s="537"/>
      <c r="AI95" s="537"/>
      <c r="AJ95" s="715"/>
      <c r="AK95" s="715"/>
      <c r="AL95" s="715"/>
      <c r="AM95" s="715"/>
      <c r="AN95" s="715"/>
      <c r="AO95" s="715"/>
      <c r="AP95" s="715"/>
      <c r="AQ95" s="726"/>
    </row>
    <row r="96" spans="1:43" ht="14.1" customHeight="1" thickBot="1">
      <c r="A96" s="740" t="s">
        <v>264</v>
      </c>
      <c r="B96" s="580"/>
      <c r="C96" s="736">
        <v>3</v>
      </c>
      <c r="D96" s="736"/>
      <c r="E96" s="736"/>
      <c r="F96" s="736"/>
      <c r="G96" s="741"/>
      <c r="H96" s="741"/>
      <c r="I96" s="741"/>
      <c r="J96" s="741"/>
      <c r="K96" s="741"/>
      <c r="L96" s="741"/>
      <c r="M96" s="741"/>
      <c r="N96" s="741"/>
      <c r="O96" s="580" t="s">
        <v>318</v>
      </c>
      <c r="P96" s="580"/>
      <c r="Q96" s="736">
        <v>6</v>
      </c>
      <c r="R96" s="736"/>
      <c r="S96" s="736"/>
      <c r="T96" s="736"/>
      <c r="U96" s="580"/>
      <c r="V96" s="580"/>
      <c r="W96" s="580"/>
      <c r="X96" s="580"/>
      <c r="Y96" s="580"/>
      <c r="Z96" s="580"/>
      <c r="AA96" s="580"/>
      <c r="AB96" s="580"/>
      <c r="AC96" s="580"/>
      <c r="AD96" s="734"/>
      <c r="AE96" s="734"/>
      <c r="AF96" s="729"/>
      <c r="AG96" s="729"/>
      <c r="AH96" s="729"/>
      <c r="AI96" s="729"/>
      <c r="AJ96" s="727"/>
      <c r="AK96" s="727"/>
      <c r="AL96" s="727"/>
      <c r="AM96" s="727"/>
      <c r="AN96" s="727"/>
      <c r="AO96" s="727"/>
      <c r="AP96" s="727"/>
      <c r="AQ96" s="728"/>
    </row>
    <row r="97" spans="1:43" ht="7.5" customHeight="1" thickBot="1"/>
    <row r="98" spans="1:43" ht="14.1" customHeight="1" thickBot="1">
      <c r="A98" s="748">
        <v>25</v>
      </c>
      <c r="B98" s="749"/>
      <c r="C98" s="750" t="s">
        <v>418</v>
      </c>
      <c r="D98" s="750"/>
      <c r="E98" s="750"/>
      <c r="F98" s="750"/>
      <c r="G98" s="750"/>
      <c r="H98" s="750"/>
      <c r="I98" s="750"/>
      <c r="J98" s="750"/>
      <c r="K98" s="750"/>
      <c r="L98" s="750"/>
      <c r="M98" s="750"/>
      <c r="N98" s="750"/>
      <c r="O98" s="750"/>
      <c r="P98" s="750"/>
      <c r="Q98" s="750"/>
      <c r="R98" s="750"/>
      <c r="S98" s="750"/>
      <c r="T98" s="750"/>
      <c r="U98" s="750"/>
      <c r="V98" s="750"/>
      <c r="W98" s="750"/>
      <c r="X98" s="750"/>
      <c r="Y98" s="750"/>
      <c r="Z98" s="750"/>
      <c r="AA98" s="750"/>
      <c r="AB98" s="750"/>
      <c r="AC98" s="750"/>
      <c r="AD98" s="735">
        <v>25</v>
      </c>
      <c r="AE98" s="735"/>
      <c r="AF98" s="746"/>
      <c r="AG98" s="746"/>
      <c r="AH98" s="746"/>
      <c r="AI98" s="746"/>
      <c r="AJ98" s="746"/>
      <c r="AK98" s="746"/>
      <c r="AL98" s="746"/>
      <c r="AM98" s="746"/>
      <c r="AN98" s="746"/>
      <c r="AO98" s="746"/>
      <c r="AP98" s="746"/>
      <c r="AQ98" s="747"/>
    </row>
    <row r="99" spans="1:43" ht="23.25" customHeight="1" thickBot="1">
      <c r="A99" s="739" t="s">
        <v>432</v>
      </c>
      <c r="B99" s="739"/>
      <c r="C99" s="739"/>
      <c r="D99" s="739"/>
      <c r="E99" s="739"/>
      <c r="F99" s="739"/>
      <c r="G99" s="739"/>
      <c r="H99" s="739"/>
      <c r="I99" s="739"/>
      <c r="J99" s="739"/>
      <c r="K99" s="739"/>
      <c r="L99" s="739"/>
      <c r="M99" s="739"/>
      <c r="N99" s="739"/>
      <c r="O99" s="739"/>
      <c r="P99" s="739"/>
      <c r="Q99" s="739"/>
      <c r="R99" s="739"/>
      <c r="S99" s="739"/>
      <c r="T99" s="739"/>
      <c r="U99" s="739"/>
      <c r="V99" s="739"/>
      <c r="W99" s="739"/>
      <c r="X99" s="739"/>
      <c r="Y99" s="739"/>
      <c r="Z99" s="739"/>
      <c r="AA99" s="739"/>
      <c r="AB99" s="739"/>
      <c r="AC99" s="739"/>
      <c r="AD99" s="739"/>
      <c r="AE99" s="739"/>
      <c r="AF99" s="739"/>
      <c r="AG99" s="739"/>
      <c r="AH99" s="739"/>
      <c r="AI99" s="739"/>
      <c r="AJ99" s="739"/>
      <c r="AK99" s="739"/>
      <c r="AL99" s="739"/>
      <c r="AM99" s="739"/>
      <c r="AN99" s="739"/>
      <c r="AO99" s="739"/>
      <c r="AP99" s="739"/>
      <c r="AQ99" s="739"/>
    </row>
    <row r="100" spans="1:43" ht="53.25" customHeight="1">
      <c r="A100" s="742" t="str">
        <f>"I, "&amp;Data!D2&amp;" son/ daughter of "&amp;Data!D3&amp;" solemnly declare that to the best of my knowledge and belief, the information given in the return thereto is"&amp;" correct and complete and that the amount of total income and other particulars shown therein are truly stated and are in accordance with the"&amp;" provisions of the Income-tax Act, 1961, in respect of income chargeable to Income-tax for the previous year relevant to the Assessment Year "&amp;'Form No.16'!L9&amp;"."</f>
        <v>I, Nainala Srinivas son/ daughter of N V V Swamy Naidu solemnly declare that to the best of my knowledge and belief, the information given in the return thereto is correct and complete and that the amount of total income and other particulars shown therein are truly stated and are in accordance with the provisions of the Income-tax Act, 1961, in respect of income chargeable to Income-tax for the previous year relevant to the Assessment Year 2014-15.</v>
      </c>
      <c r="B100" s="743"/>
      <c r="C100" s="743"/>
      <c r="D100" s="743"/>
      <c r="E100" s="743"/>
      <c r="F100" s="743"/>
      <c r="G100" s="743"/>
      <c r="H100" s="743"/>
      <c r="I100" s="743"/>
      <c r="J100" s="743"/>
      <c r="K100" s="743"/>
      <c r="L100" s="743"/>
      <c r="M100" s="743"/>
      <c r="N100" s="743"/>
      <c r="O100" s="743"/>
      <c r="P100" s="743"/>
      <c r="Q100" s="743"/>
      <c r="R100" s="743"/>
      <c r="S100" s="743"/>
      <c r="T100" s="743"/>
      <c r="U100" s="743"/>
      <c r="V100" s="743"/>
      <c r="W100" s="743"/>
      <c r="X100" s="743"/>
      <c r="Y100" s="743"/>
      <c r="Z100" s="743"/>
      <c r="AA100" s="743"/>
      <c r="AB100" s="743"/>
      <c r="AC100" s="743"/>
      <c r="AD100" s="743"/>
      <c r="AE100" s="743"/>
      <c r="AF100" s="743"/>
      <c r="AG100" s="743"/>
      <c r="AH100" s="743"/>
      <c r="AI100" s="743"/>
      <c r="AJ100" s="743"/>
      <c r="AK100" s="743"/>
      <c r="AL100" s="743"/>
      <c r="AM100" s="743"/>
      <c r="AN100" s="743"/>
      <c r="AO100" s="743"/>
      <c r="AP100" s="743"/>
      <c r="AQ100" s="744"/>
    </row>
    <row r="101" spans="1:43" s="298" customFormat="1" ht="17.25" customHeight="1" thickBot="1">
      <c r="A101" s="730" t="s">
        <v>419</v>
      </c>
      <c r="B101" s="731"/>
      <c r="C101" s="732"/>
      <c r="D101" s="732"/>
      <c r="E101" s="732"/>
      <c r="F101" s="732"/>
      <c r="G101" s="732"/>
      <c r="H101" s="732"/>
      <c r="I101" s="732"/>
      <c r="J101" s="732"/>
      <c r="K101" s="732"/>
      <c r="L101" s="732"/>
      <c r="M101" s="732"/>
      <c r="N101" s="732"/>
      <c r="O101" s="733"/>
      <c r="P101" s="745" t="s">
        <v>420</v>
      </c>
      <c r="Q101" s="745"/>
      <c r="R101" s="745"/>
      <c r="S101" s="737"/>
      <c r="T101" s="737"/>
      <c r="U101" s="737"/>
      <c r="V101" s="737"/>
      <c r="W101" s="737"/>
      <c r="X101" s="745" t="s">
        <v>421</v>
      </c>
      <c r="Y101" s="745"/>
      <c r="Z101" s="745"/>
      <c r="AA101" s="745"/>
      <c r="AB101" s="745"/>
      <c r="AC101" s="737"/>
      <c r="AD101" s="737"/>
      <c r="AE101" s="737"/>
      <c r="AF101" s="737"/>
      <c r="AG101" s="737"/>
      <c r="AH101" s="737"/>
      <c r="AI101" s="737"/>
      <c r="AJ101" s="737"/>
      <c r="AK101" s="737"/>
      <c r="AL101" s="737"/>
      <c r="AM101" s="737"/>
      <c r="AN101" s="737"/>
      <c r="AO101" s="737"/>
      <c r="AP101" s="737"/>
      <c r="AQ101" s="738"/>
    </row>
    <row r="102" spans="1:43" ht="8.1" customHeight="1" thickBot="1"/>
    <row r="103" spans="1:43" s="299" customFormat="1" ht="16.5" customHeight="1">
      <c r="A103" s="707">
        <v>26</v>
      </c>
      <c r="B103" s="708"/>
      <c r="C103" s="754" t="s">
        <v>422</v>
      </c>
      <c r="D103" s="754"/>
      <c r="E103" s="754"/>
      <c r="F103" s="754"/>
      <c r="G103" s="754"/>
      <c r="H103" s="754"/>
      <c r="I103" s="754"/>
      <c r="J103" s="754"/>
      <c r="K103" s="754"/>
      <c r="L103" s="754"/>
      <c r="M103" s="754"/>
      <c r="N103" s="754"/>
      <c r="O103" s="754"/>
      <c r="P103" s="754"/>
      <c r="Q103" s="754"/>
      <c r="R103" s="754"/>
      <c r="S103" s="754"/>
      <c r="T103" s="754"/>
      <c r="U103" s="754"/>
      <c r="V103" s="754"/>
      <c r="W103" s="754"/>
      <c r="X103" s="754"/>
      <c r="Y103" s="754"/>
      <c r="Z103" s="754"/>
      <c r="AA103" s="754"/>
      <c r="AB103" s="754"/>
      <c r="AC103" s="754"/>
      <c r="AD103" s="754"/>
      <c r="AE103" s="754"/>
      <c r="AF103" s="754"/>
      <c r="AG103" s="754"/>
      <c r="AH103" s="754"/>
      <c r="AI103" s="754"/>
      <c r="AJ103" s="754"/>
      <c r="AK103" s="754"/>
      <c r="AL103" s="754"/>
      <c r="AM103" s="754"/>
      <c r="AN103" s="754"/>
      <c r="AO103" s="754"/>
      <c r="AP103" s="754"/>
      <c r="AQ103" s="755"/>
    </row>
    <row r="104" spans="1:43" ht="16.5" customHeight="1">
      <c r="A104" s="752" t="s">
        <v>423</v>
      </c>
      <c r="B104" s="753"/>
      <c r="C104" s="753"/>
      <c r="D104" s="753"/>
      <c r="E104" s="753"/>
      <c r="F104" s="753"/>
      <c r="G104" s="753"/>
      <c r="H104" s="753"/>
      <c r="I104" s="753"/>
      <c r="J104" s="753"/>
      <c r="K104" s="753"/>
      <c r="L104" s="753"/>
      <c r="M104" s="753"/>
      <c r="N104" s="753"/>
      <c r="O104" s="753"/>
      <c r="P104" s="753"/>
      <c r="Q104" s="753"/>
      <c r="R104" s="753"/>
      <c r="S104" s="753"/>
      <c r="T104" s="753"/>
      <c r="U104" s="757" t="s">
        <v>424</v>
      </c>
      <c r="V104" s="642"/>
      <c r="W104" s="642"/>
      <c r="X104" s="642"/>
      <c r="Y104" s="642"/>
      <c r="Z104" s="642"/>
      <c r="AA104" s="642"/>
      <c r="AB104" s="642"/>
      <c r="AC104" s="642"/>
      <c r="AD104" s="642"/>
      <c r="AE104" s="759"/>
      <c r="AF104" s="757" t="s">
        <v>425</v>
      </c>
      <c r="AG104" s="642"/>
      <c r="AH104" s="642"/>
      <c r="AI104" s="642"/>
      <c r="AJ104" s="642"/>
      <c r="AK104" s="642"/>
      <c r="AL104" s="642"/>
      <c r="AM104" s="642"/>
      <c r="AN104" s="642"/>
      <c r="AO104" s="642"/>
      <c r="AP104" s="642"/>
      <c r="AQ104" s="758"/>
    </row>
    <row r="105" spans="1:43" ht="13.5" thickBot="1">
      <c r="A105" s="756"/>
      <c r="B105" s="751"/>
      <c r="C105" s="751"/>
      <c r="D105" s="751"/>
      <c r="E105" s="751"/>
      <c r="F105" s="751"/>
      <c r="G105" s="751"/>
      <c r="H105" s="751"/>
      <c r="I105" s="751"/>
      <c r="J105" s="751"/>
      <c r="K105" s="751"/>
      <c r="L105" s="751"/>
      <c r="M105" s="751"/>
      <c r="N105" s="751"/>
      <c r="O105" s="751"/>
      <c r="P105" s="751"/>
      <c r="Q105" s="751"/>
      <c r="R105" s="751"/>
      <c r="S105" s="751"/>
      <c r="T105" s="751"/>
      <c r="U105" s="565"/>
      <c r="V105" s="566"/>
      <c r="W105" s="566"/>
      <c r="X105" s="566"/>
      <c r="Y105" s="566"/>
      <c r="Z105" s="566"/>
      <c r="AA105" s="566"/>
      <c r="AB105" s="566"/>
      <c r="AC105" s="566"/>
      <c r="AD105" s="566"/>
      <c r="AE105" s="567"/>
      <c r="AF105" s="565"/>
      <c r="AG105" s="566"/>
      <c r="AH105" s="566"/>
      <c r="AI105" s="566"/>
      <c r="AJ105" s="566"/>
      <c r="AK105" s="566"/>
      <c r="AL105" s="566"/>
      <c r="AM105" s="566"/>
      <c r="AN105" s="566"/>
      <c r="AO105" s="566"/>
      <c r="AP105" s="566"/>
      <c r="AQ105" s="570"/>
    </row>
    <row r="106" spans="1:43" ht="12" customHeight="1">
      <c r="A106" s="760" t="s">
        <v>426</v>
      </c>
      <c r="B106" s="642"/>
      <c r="C106" s="642"/>
      <c r="D106" s="642"/>
      <c r="E106" s="642"/>
      <c r="F106" s="642"/>
      <c r="G106" s="642"/>
      <c r="H106" s="642"/>
      <c r="I106" s="642"/>
      <c r="J106" s="642"/>
      <c r="K106" s="642"/>
      <c r="L106" s="642"/>
      <c r="M106" s="642"/>
      <c r="N106" s="642"/>
      <c r="O106" s="642"/>
      <c r="P106" s="642"/>
      <c r="Q106" s="642"/>
      <c r="R106" s="642"/>
      <c r="S106" s="642"/>
      <c r="T106" s="642"/>
      <c r="U106" s="642"/>
      <c r="V106" s="642"/>
      <c r="W106" s="642"/>
      <c r="X106" s="642"/>
      <c r="Y106" s="642"/>
      <c r="Z106" s="642"/>
      <c r="AA106" s="642"/>
      <c r="AB106" s="642"/>
      <c r="AC106" s="642"/>
      <c r="AD106" s="642"/>
      <c r="AE106" s="642"/>
      <c r="AF106" s="642"/>
      <c r="AG106" s="642"/>
      <c r="AH106" s="642"/>
      <c r="AI106" s="642"/>
      <c r="AJ106" s="642"/>
      <c r="AK106" s="642"/>
      <c r="AL106" s="642"/>
      <c r="AM106" s="642"/>
      <c r="AN106" s="642"/>
      <c r="AO106" s="642"/>
      <c r="AP106" s="642"/>
      <c r="AQ106" s="642"/>
    </row>
    <row r="107" spans="1:43" hidden="1"/>
  </sheetData>
  <sheetProtection sheet="1" objects="1" scenarios="1" selectLockedCells="1"/>
  <mergeCells count="499">
    <mergeCell ref="I105:J105"/>
    <mergeCell ref="K105:L105"/>
    <mergeCell ref="A104:T104"/>
    <mergeCell ref="C103:AQ103"/>
    <mergeCell ref="A103:B103"/>
    <mergeCell ref="A105:B105"/>
    <mergeCell ref="AF104:AQ104"/>
    <mergeCell ref="U104:AE104"/>
    <mergeCell ref="A106:AQ106"/>
    <mergeCell ref="U105:AE105"/>
    <mergeCell ref="AF105:AQ105"/>
    <mergeCell ref="Q105:R105"/>
    <mergeCell ref="S105:T105"/>
    <mergeCell ref="C105:D105"/>
    <mergeCell ref="E105:F105"/>
    <mergeCell ref="G105:H105"/>
    <mergeCell ref="O105:P105"/>
    <mergeCell ref="M105:N105"/>
    <mergeCell ref="A101:B101"/>
    <mergeCell ref="C101:O101"/>
    <mergeCell ref="O95:P95"/>
    <mergeCell ref="AD95:AE95"/>
    <mergeCell ref="AD96:AE96"/>
    <mergeCell ref="U96:AC96"/>
    <mergeCell ref="AD98:AE98"/>
    <mergeCell ref="Q96:T96"/>
    <mergeCell ref="S101:W101"/>
    <mergeCell ref="AC101:AQ101"/>
    <mergeCell ref="A99:AQ99"/>
    <mergeCell ref="A96:B96"/>
    <mergeCell ref="G96:N96"/>
    <mergeCell ref="C96:F96"/>
    <mergeCell ref="A100:AQ100"/>
    <mergeCell ref="P101:R101"/>
    <mergeCell ref="X101:AB101"/>
    <mergeCell ref="AF98:AQ98"/>
    <mergeCell ref="A98:B98"/>
    <mergeCell ref="C98:AC98"/>
    <mergeCell ref="AD94:AE94"/>
    <mergeCell ref="C95:F95"/>
    <mergeCell ref="G95:N95"/>
    <mergeCell ref="C94:F94"/>
    <mergeCell ref="A95:B95"/>
    <mergeCell ref="AJ95:AQ95"/>
    <mergeCell ref="AJ94:AQ94"/>
    <mergeCell ref="AF94:AI94"/>
    <mergeCell ref="AJ96:AQ96"/>
    <mergeCell ref="U95:AC95"/>
    <mergeCell ref="AF95:AI95"/>
    <mergeCell ref="AF96:AI96"/>
    <mergeCell ref="G94:N94"/>
    <mergeCell ref="Q95:T95"/>
    <mergeCell ref="O94:P94"/>
    <mergeCell ref="A94:B94"/>
    <mergeCell ref="O96:P96"/>
    <mergeCell ref="U94:AC94"/>
    <mergeCell ref="Q94:T94"/>
    <mergeCell ref="AJ93:AQ93"/>
    <mergeCell ref="C93:F93"/>
    <mergeCell ref="G93:N93"/>
    <mergeCell ref="AD93:AE93"/>
    <mergeCell ref="A92:B92"/>
    <mergeCell ref="C92:AQ92"/>
    <mergeCell ref="Y89:AB89"/>
    <mergeCell ref="AC89:AD89"/>
    <mergeCell ref="W87:X87"/>
    <mergeCell ref="AK89:AL89"/>
    <mergeCell ref="AK88:AL88"/>
    <mergeCell ref="AI89:AJ89"/>
    <mergeCell ref="AI88:AJ88"/>
    <mergeCell ref="AC88:AD88"/>
    <mergeCell ref="Y88:AB88"/>
    <mergeCell ref="AM89:AQ89"/>
    <mergeCell ref="E90:AQ90"/>
    <mergeCell ref="W88:X88"/>
    <mergeCell ref="U89:V89"/>
    <mergeCell ref="Q88:R88"/>
    <mergeCell ref="K89:L89"/>
    <mergeCell ref="M89:N89"/>
    <mergeCell ref="S88:T88"/>
    <mergeCell ref="AG89:AH89"/>
    <mergeCell ref="AF93:AI93"/>
    <mergeCell ref="U93:AC93"/>
    <mergeCell ref="O93:P93"/>
    <mergeCell ref="Q93:T93"/>
    <mergeCell ref="O89:P89"/>
    <mergeCell ref="Q89:R89"/>
    <mergeCell ref="AE89:AF89"/>
    <mergeCell ref="O87:P87"/>
    <mergeCell ref="B88:C88"/>
    <mergeCell ref="O88:P88"/>
    <mergeCell ref="D88:J88"/>
    <mergeCell ref="M88:N88"/>
    <mergeCell ref="K88:L88"/>
    <mergeCell ref="B89:C89"/>
    <mergeCell ref="A93:B93"/>
    <mergeCell ref="AE88:AF88"/>
    <mergeCell ref="D87:J87"/>
    <mergeCell ref="A84:A90"/>
    <mergeCell ref="B85:C85"/>
    <mergeCell ref="B86:C86"/>
    <mergeCell ref="B87:C87"/>
    <mergeCell ref="B84:C84"/>
    <mergeCell ref="Q87:R87"/>
    <mergeCell ref="B90:D90"/>
    <mergeCell ref="AM87:AQ87"/>
    <mergeCell ref="AK87:AL87"/>
    <mergeCell ref="S89:T89"/>
    <mergeCell ref="AG88:AH88"/>
    <mergeCell ref="AE87:AF87"/>
    <mergeCell ref="AM88:AQ88"/>
    <mergeCell ref="AC87:AD87"/>
    <mergeCell ref="Y87:AB87"/>
    <mergeCell ref="W89:X89"/>
    <mergeCell ref="U88:V88"/>
    <mergeCell ref="AI87:AJ87"/>
    <mergeCell ref="AG87:AH87"/>
    <mergeCell ref="D89:J89"/>
    <mergeCell ref="K87:L87"/>
    <mergeCell ref="M87:N87"/>
    <mergeCell ref="D84:J84"/>
    <mergeCell ref="K85:L85"/>
    <mergeCell ref="M85:N85"/>
    <mergeCell ref="O85:P85"/>
    <mergeCell ref="K84:X84"/>
    <mergeCell ref="S87:T87"/>
    <mergeCell ref="U87:V87"/>
    <mergeCell ref="D86:J86"/>
    <mergeCell ref="K86:L86"/>
    <mergeCell ref="M86:N86"/>
    <mergeCell ref="O86:P86"/>
    <mergeCell ref="AM85:AQ85"/>
    <mergeCell ref="Q85:R85"/>
    <mergeCell ref="U85:V85"/>
    <mergeCell ref="AC85:AD85"/>
    <mergeCell ref="AK85:AL85"/>
    <mergeCell ref="AE85:AF85"/>
    <mergeCell ref="AG85:AH85"/>
    <mergeCell ref="AI86:AJ86"/>
    <mergeCell ref="AE86:AF86"/>
    <mergeCell ref="AG86:AH86"/>
    <mergeCell ref="U86:V86"/>
    <mergeCell ref="W86:X86"/>
    <mergeCell ref="Y86:AB86"/>
    <mergeCell ref="AM86:AQ86"/>
    <mergeCell ref="AK86:AL86"/>
    <mergeCell ref="S86:T86"/>
    <mergeCell ref="AC86:AD86"/>
    <mergeCell ref="Q86:R86"/>
    <mergeCell ref="Y85:AB85"/>
    <mergeCell ref="B75:C76"/>
    <mergeCell ref="B79:C80"/>
    <mergeCell ref="N80:R80"/>
    <mergeCell ref="N78:R78"/>
    <mergeCell ref="B74:C74"/>
    <mergeCell ref="N76:R76"/>
    <mergeCell ref="D74:M74"/>
    <mergeCell ref="W85:X85"/>
    <mergeCell ref="D85:J85"/>
    <mergeCell ref="S76:AA76"/>
    <mergeCell ref="Y84:AB84"/>
    <mergeCell ref="S85:T85"/>
    <mergeCell ref="N79:R79"/>
    <mergeCell ref="B81:F81"/>
    <mergeCell ref="C83:AQ83"/>
    <mergeCell ref="A83:B83"/>
    <mergeCell ref="A73:A81"/>
    <mergeCell ref="B73:C73"/>
    <mergeCell ref="AI85:AJ85"/>
    <mergeCell ref="AM84:AQ84"/>
    <mergeCell ref="AF73:AI73"/>
    <mergeCell ref="AN74:AQ74"/>
    <mergeCell ref="N74:R74"/>
    <mergeCell ref="AB79:AE80"/>
    <mergeCell ref="G81:AQ81"/>
    <mergeCell ref="AB77:AE78"/>
    <mergeCell ref="AN75:AQ76"/>
    <mergeCell ref="AJ77:AM78"/>
    <mergeCell ref="AJ74:AM74"/>
    <mergeCell ref="AN79:AQ80"/>
    <mergeCell ref="N75:R75"/>
    <mergeCell ref="B77:C78"/>
    <mergeCell ref="N73:R73"/>
    <mergeCell ref="AN77:AQ78"/>
    <mergeCell ref="N77:R77"/>
    <mergeCell ref="AB75:AE76"/>
    <mergeCell ref="AJ75:AM76"/>
    <mergeCell ref="AJ79:AM80"/>
    <mergeCell ref="AF77:AI78"/>
    <mergeCell ref="AB74:AE74"/>
    <mergeCell ref="S74:AA74"/>
    <mergeCell ref="AF74:AI74"/>
    <mergeCell ref="S75:AA75"/>
    <mergeCell ref="AF75:AI76"/>
    <mergeCell ref="S77:AA77"/>
    <mergeCell ref="S78:AA78"/>
    <mergeCell ref="S80:AA80"/>
    <mergeCell ref="S79:AA79"/>
    <mergeCell ref="AK23:AQ23"/>
    <mergeCell ref="AI31:AJ31"/>
    <mergeCell ref="AD28:AH28"/>
    <mergeCell ref="T29:X29"/>
    <mergeCell ref="AA29:AC29"/>
    <mergeCell ref="AI25:AQ29"/>
    <mergeCell ref="AD27:AH27"/>
    <mergeCell ref="AA27:AC27"/>
    <mergeCell ref="AA28:AC28"/>
    <mergeCell ref="T27:X27"/>
    <mergeCell ref="Y26:Z26"/>
    <mergeCell ref="AK30:AQ30"/>
    <mergeCell ref="Y29:Z29"/>
    <mergeCell ref="AK31:AQ31"/>
    <mergeCell ref="AD29:AH29"/>
    <mergeCell ref="AI30:AJ30"/>
    <mergeCell ref="E31:AH31"/>
    <mergeCell ref="T28:X28"/>
    <mergeCell ref="Y28:Z28"/>
    <mergeCell ref="AI23:AJ23"/>
    <mergeCell ref="G23:AH23"/>
    <mergeCell ref="E23:F23"/>
    <mergeCell ref="AI24:AJ24"/>
    <mergeCell ref="AK24:AQ24"/>
    <mergeCell ref="AL9:AM9"/>
    <mergeCell ref="C10:S10"/>
    <mergeCell ref="AI9:AJ9"/>
    <mergeCell ref="C9:S9"/>
    <mergeCell ref="AH11:AI11"/>
    <mergeCell ref="T12:AC12"/>
    <mergeCell ref="W4:AG4"/>
    <mergeCell ref="L4:V4"/>
    <mergeCell ref="AP2:AQ2"/>
    <mergeCell ref="AD2:AE2"/>
    <mergeCell ref="C6:S6"/>
    <mergeCell ref="C1:F2"/>
    <mergeCell ref="L5:V5"/>
    <mergeCell ref="AH7:AQ7"/>
    <mergeCell ref="AD1:AQ1"/>
    <mergeCell ref="T6:AG6"/>
    <mergeCell ref="AN2:AO2"/>
    <mergeCell ref="AJ2:AK2"/>
    <mergeCell ref="AL2:AM2"/>
    <mergeCell ref="AF2:AG2"/>
    <mergeCell ref="AH2:AI2"/>
    <mergeCell ref="AH4:AQ4"/>
    <mergeCell ref="AH6:AQ6"/>
    <mergeCell ref="C12:S12"/>
    <mergeCell ref="AI20:AQ22"/>
    <mergeCell ref="AA21:AH21"/>
    <mergeCell ref="Y21:Z21"/>
    <mergeCell ref="Z15:AG15"/>
    <mergeCell ref="X18:AB18"/>
    <mergeCell ref="C15:W15"/>
    <mergeCell ref="T7:AG7"/>
    <mergeCell ref="C8:S8"/>
    <mergeCell ref="AH8:AQ8"/>
    <mergeCell ref="V18:W18"/>
    <mergeCell ref="R18:U18"/>
    <mergeCell ref="C7:S7"/>
    <mergeCell ref="AJ11:AL11"/>
    <mergeCell ref="AI16:AQ17"/>
    <mergeCell ref="T10:AG10"/>
    <mergeCell ref="AH10:AQ10"/>
    <mergeCell ref="T11:AG11"/>
    <mergeCell ref="AO11:AQ11"/>
    <mergeCell ref="AD12:AG12"/>
    <mergeCell ref="C14:W14"/>
    <mergeCell ref="T9:AG9"/>
    <mergeCell ref="AM11:AN11"/>
    <mergeCell ref="C11:S11"/>
    <mergeCell ref="AO9:AQ9"/>
    <mergeCell ref="AK19:AQ19"/>
    <mergeCell ref="X13:AK14"/>
    <mergeCell ref="X15:Y15"/>
    <mergeCell ref="AE18:AQ18"/>
    <mergeCell ref="AI19:AJ19"/>
    <mergeCell ref="AJ15:AQ15"/>
    <mergeCell ref="C18:O18"/>
    <mergeCell ref="C16:Q17"/>
    <mergeCell ref="C13:W13"/>
    <mergeCell ref="AC18:AD18"/>
    <mergeCell ref="AH15:AI15"/>
    <mergeCell ref="J26:N26"/>
    <mergeCell ref="AD26:AH26"/>
    <mergeCell ref="J28:N28"/>
    <mergeCell ref="O28:P28"/>
    <mergeCell ref="E28:F28"/>
    <mergeCell ref="Q28:S28"/>
    <mergeCell ref="Q27:S27"/>
    <mergeCell ref="C21:D23"/>
    <mergeCell ref="P18:Q18"/>
    <mergeCell ref="AA22:AH22"/>
    <mergeCell ref="T26:X26"/>
    <mergeCell ref="E19:AH19"/>
    <mergeCell ref="E20:AH20"/>
    <mergeCell ref="E22:F22"/>
    <mergeCell ref="G22:X22"/>
    <mergeCell ref="Y22:Z22"/>
    <mergeCell ref="G21:X21"/>
    <mergeCell ref="E21:F21"/>
    <mergeCell ref="C20:D20"/>
    <mergeCell ref="C19:D19"/>
    <mergeCell ref="C25:D25"/>
    <mergeCell ref="A1:B2"/>
    <mergeCell ref="A4:B12"/>
    <mergeCell ref="A13:B18"/>
    <mergeCell ref="C4:K4"/>
    <mergeCell ref="C5:K5"/>
    <mergeCell ref="G1:AC2"/>
    <mergeCell ref="T8:AG8"/>
    <mergeCell ref="W5:AG5"/>
    <mergeCell ref="C24:D24"/>
    <mergeCell ref="E32:AH32"/>
    <mergeCell ref="G29:I29"/>
    <mergeCell ref="C31:D31"/>
    <mergeCell ref="J27:N27"/>
    <mergeCell ref="Y27:Z27"/>
    <mergeCell ref="Q26:S26"/>
    <mergeCell ref="G28:I28"/>
    <mergeCell ref="E25:AH25"/>
    <mergeCell ref="E24:AH24"/>
    <mergeCell ref="E30:F30"/>
    <mergeCell ref="G30:AH30"/>
    <mergeCell ref="C32:D32"/>
    <mergeCell ref="O27:P27"/>
    <mergeCell ref="C26:D30"/>
    <mergeCell ref="O26:P26"/>
    <mergeCell ref="Q29:S29"/>
    <mergeCell ref="O29:P29"/>
    <mergeCell ref="G27:I27"/>
    <mergeCell ref="AA26:AC26"/>
    <mergeCell ref="E26:F26"/>
    <mergeCell ref="E27:F27"/>
    <mergeCell ref="J29:N29"/>
    <mergeCell ref="E29:F29"/>
    <mergeCell ref="G26:I26"/>
    <mergeCell ref="C33:D33"/>
    <mergeCell ref="E33:AH33"/>
    <mergeCell ref="E36:F36"/>
    <mergeCell ref="Y36:Z36"/>
    <mergeCell ref="X43:AH43"/>
    <mergeCell ref="E42:AH42"/>
    <mergeCell ref="A43:S50"/>
    <mergeCell ref="C42:D42"/>
    <mergeCell ref="T48:AH48"/>
    <mergeCell ref="A34:B42"/>
    <mergeCell ref="AA38:AH38"/>
    <mergeCell ref="G34:AH34"/>
    <mergeCell ref="AA36:AH36"/>
    <mergeCell ref="G36:X36"/>
    <mergeCell ref="Y38:Z38"/>
    <mergeCell ref="AA37:AH37"/>
    <mergeCell ref="AA40:AH40"/>
    <mergeCell ref="C34:D34"/>
    <mergeCell ref="C40:D40"/>
    <mergeCell ref="C35:D35"/>
    <mergeCell ref="C36:D36"/>
    <mergeCell ref="C37:D39"/>
    <mergeCell ref="E35:F35"/>
    <mergeCell ref="A19:B33"/>
    <mergeCell ref="C57:D57"/>
    <mergeCell ref="AF67:AH68"/>
    <mergeCell ref="AF65:AH65"/>
    <mergeCell ref="AC66:AE66"/>
    <mergeCell ref="E58:AH58"/>
    <mergeCell ref="N65:R65"/>
    <mergeCell ref="N67:R67"/>
    <mergeCell ref="D64:AQ64"/>
    <mergeCell ref="B67:C68"/>
    <mergeCell ref="AI66:AK66"/>
    <mergeCell ref="N68:R68"/>
    <mergeCell ref="D65:M65"/>
    <mergeCell ref="B66:C66"/>
    <mergeCell ref="S67:AB67"/>
    <mergeCell ref="S68:AB68"/>
    <mergeCell ref="AC65:AE65"/>
    <mergeCell ref="E61:AQ61"/>
    <mergeCell ref="AO65:AQ65"/>
    <mergeCell ref="C62:G62"/>
    <mergeCell ref="AI65:AK65"/>
    <mergeCell ref="G54:U54"/>
    <mergeCell ref="B65:C65"/>
    <mergeCell ref="AC67:AE68"/>
    <mergeCell ref="AI57:AJ57"/>
    <mergeCell ref="E57:AH57"/>
    <mergeCell ref="AK58:AQ58"/>
    <mergeCell ref="AO66:AQ66"/>
    <mergeCell ref="AF66:AH66"/>
    <mergeCell ref="S66:AB66"/>
    <mergeCell ref="S65:AB65"/>
    <mergeCell ref="C59:D59"/>
    <mergeCell ref="A58:B62"/>
    <mergeCell ref="C60:D60"/>
    <mergeCell ref="A64:C64"/>
    <mergeCell ref="E59:AA59"/>
    <mergeCell ref="E60:AQ60"/>
    <mergeCell ref="C61:D61"/>
    <mergeCell ref="A65:A70"/>
    <mergeCell ref="C58:D58"/>
    <mergeCell ref="V62:AQ62"/>
    <mergeCell ref="AI58:AJ58"/>
    <mergeCell ref="AO67:AQ68"/>
    <mergeCell ref="AL67:AN68"/>
    <mergeCell ref="A52:B57"/>
    <mergeCell ref="A72:C72"/>
    <mergeCell ref="S70:AB70"/>
    <mergeCell ref="AF69:AH70"/>
    <mergeCell ref="AI69:AK70"/>
    <mergeCell ref="AN73:AQ73"/>
    <mergeCell ref="S69:AB69"/>
    <mergeCell ref="AJ73:AM73"/>
    <mergeCell ref="AK44:AQ44"/>
    <mergeCell ref="AK47:AQ47"/>
    <mergeCell ref="AK45:AQ45"/>
    <mergeCell ref="AI45:AJ45"/>
    <mergeCell ref="X45:AH45"/>
    <mergeCell ref="X55:AH55"/>
    <mergeCell ref="T49:AH49"/>
    <mergeCell ref="AI52:AQ55"/>
    <mergeCell ref="T47:U47"/>
    <mergeCell ref="C52:D52"/>
    <mergeCell ref="E54:F54"/>
    <mergeCell ref="X54:AH54"/>
    <mergeCell ref="G56:AH56"/>
    <mergeCell ref="E55:F55"/>
    <mergeCell ref="AK57:AQ57"/>
    <mergeCell ref="V54:W54"/>
    <mergeCell ref="G55:U55"/>
    <mergeCell ref="E34:F34"/>
    <mergeCell ref="AI36:AQ38"/>
    <mergeCell ref="T43:U43"/>
    <mergeCell ref="D72:AQ72"/>
    <mergeCell ref="AC69:AE70"/>
    <mergeCell ref="D73:M73"/>
    <mergeCell ref="S73:AA73"/>
    <mergeCell ref="AB73:AE73"/>
    <mergeCell ref="AL69:AN70"/>
    <mergeCell ref="AO69:AQ70"/>
    <mergeCell ref="AK43:AQ43"/>
    <mergeCell ref="AI43:AJ43"/>
    <mergeCell ref="AK56:AQ56"/>
    <mergeCell ref="AI56:AJ56"/>
    <mergeCell ref="E56:F56"/>
    <mergeCell ref="AI67:AK68"/>
    <mergeCell ref="AL65:AN65"/>
    <mergeCell ref="AL66:AN66"/>
    <mergeCell ref="N66:R66"/>
    <mergeCell ref="D66:M66"/>
    <mergeCell ref="N69:R69"/>
    <mergeCell ref="N70:R70"/>
    <mergeCell ref="C53:D56"/>
    <mergeCell ref="B69:C70"/>
    <mergeCell ref="AK46:AQ46"/>
    <mergeCell ref="V44:W44"/>
    <mergeCell ref="V45:W45"/>
    <mergeCell ref="AF79:AI80"/>
    <mergeCell ref="AC84:AL84"/>
    <mergeCell ref="AK32:AQ32"/>
    <mergeCell ref="G35:AH35"/>
    <mergeCell ref="AI44:AJ44"/>
    <mergeCell ref="E39:F39"/>
    <mergeCell ref="E40:X40"/>
    <mergeCell ref="AA41:AH41"/>
    <mergeCell ref="AI39:AJ39"/>
    <mergeCell ref="G38:X38"/>
    <mergeCell ref="AI34:AJ34"/>
    <mergeCell ref="AI35:AJ35"/>
    <mergeCell ref="AK33:AQ33"/>
    <mergeCell ref="AK34:AQ34"/>
    <mergeCell ref="AK35:AQ35"/>
    <mergeCell ref="AI33:AJ33"/>
    <mergeCell ref="AI40:AQ41"/>
    <mergeCell ref="AK39:AQ39"/>
    <mergeCell ref="G39:AH39"/>
    <mergeCell ref="E41:X41"/>
    <mergeCell ref="AI32:AJ32"/>
    <mergeCell ref="AI42:AJ42"/>
    <mergeCell ref="V55:W55"/>
    <mergeCell ref="C41:D41"/>
    <mergeCell ref="AK42:AQ42"/>
    <mergeCell ref="AI47:AJ47"/>
    <mergeCell ref="X44:AH44"/>
    <mergeCell ref="E37:F37"/>
    <mergeCell ref="V47:AH47"/>
    <mergeCell ref="X53:AH53"/>
    <mergeCell ref="V53:W53"/>
    <mergeCell ref="T50:AH50"/>
    <mergeCell ref="E53:F53"/>
    <mergeCell ref="E38:F38"/>
    <mergeCell ref="V46:W46"/>
    <mergeCell ref="E52:AH52"/>
    <mergeCell ref="G53:U53"/>
    <mergeCell ref="X46:AH46"/>
    <mergeCell ref="T44:U46"/>
    <mergeCell ref="G37:X37"/>
    <mergeCell ref="Y37:Z37"/>
    <mergeCell ref="Y40:Z40"/>
    <mergeCell ref="Y41:Z41"/>
    <mergeCell ref="V43:W43"/>
    <mergeCell ref="AI46:AJ46"/>
  </mergeCells>
  <phoneticPr fontId="40" type="noConversion"/>
  <pageMargins left="0.25" right="0.33" top="0.54" bottom="1.1599999999999999" header="0.42" footer="0.24"/>
  <pageSetup paperSize="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27</vt:i4>
      </vt:variant>
    </vt:vector>
  </HeadingPairs>
  <TitlesOfParts>
    <vt:vector size="36" baseType="lpstr">
      <vt:lpstr>Instructions</vt:lpstr>
      <vt:lpstr>Data</vt:lpstr>
      <vt:lpstr>Table-1</vt:lpstr>
      <vt:lpstr>Table-2</vt:lpstr>
      <vt:lpstr>Annexure-1</vt:lpstr>
      <vt:lpstr>Form No.16</vt:lpstr>
      <vt:lpstr>Rent Receipt</vt:lpstr>
      <vt:lpstr>Ack</vt:lpstr>
      <vt:lpstr>ITR 1</vt:lpstr>
      <vt:lpstr>AGInc</vt:lpstr>
      <vt:lpstr>BPay</vt:lpstr>
      <vt:lpstr>Bpays</vt:lpstr>
      <vt:lpstr>CCA</vt:lpstr>
      <vt:lpstr>DA</vt:lpstr>
      <vt:lpstr>dates</vt:lpstr>
      <vt:lpstr>DD</vt:lpstr>
      <vt:lpstr>Details</vt:lpstr>
      <vt:lpstr>DoAAS</vt:lpstr>
      <vt:lpstr>DoNI</vt:lpstr>
      <vt:lpstr>DoNI2</vt:lpstr>
      <vt:lpstr>DoP</vt:lpstr>
      <vt:lpstr>DoPO</vt:lpstr>
      <vt:lpstr>FinYear</vt:lpstr>
      <vt:lpstr>HRA</vt:lpstr>
      <vt:lpstr>HRATab</vt:lpstr>
      <vt:lpstr>MM</vt:lpstr>
      <vt:lpstr>Mon</vt:lpstr>
      <vt:lpstr>option</vt:lpstr>
      <vt:lpstr>ProOpt</vt:lpstr>
      <vt:lpstr>SCA</vt:lpstr>
      <vt:lpstr>Scales</vt:lpstr>
      <vt:lpstr>SL</vt:lpstr>
      <vt:lpstr>Upto</vt:lpstr>
      <vt:lpstr>YN</vt:lpstr>
      <vt:lpstr>YOB</vt:lpstr>
      <vt:lpstr>YY</vt:lpstr>
    </vt:vector>
  </TitlesOfParts>
  <Company>saryams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srinivas</dc:creator>
  <cp:lastModifiedBy>bold</cp:lastModifiedBy>
  <cp:lastPrinted>2013-12-15T02:05:13Z</cp:lastPrinted>
  <dcterms:created xsi:type="dcterms:W3CDTF">2007-02-27T14:37:14Z</dcterms:created>
  <dcterms:modified xsi:type="dcterms:W3CDTF">2014-02-05T02:07:04Z</dcterms:modified>
</cp:coreProperties>
</file>